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023fs010.kys.local\0414\"/>
    </mc:Choice>
  </mc:AlternateContent>
  <bookViews>
    <workbookView xWindow="0" yWindow="0" windowWidth="20490" windowHeight="7530" firstSheet="5" activeTab="6"/>
  </bookViews>
  <sheets>
    <sheet name="例)前払金請求書" sheetId="12" r:id="rId1"/>
    <sheet name="例)中間前払金請求書" sheetId="13" r:id="rId2"/>
    <sheet name="例)部分払請求書" sheetId="14" r:id="rId3"/>
    <sheet name="例)請求書" sheetId="15" r:id="rId4"/>
    <sheet name="基本情報入力" sheetId="7" r:id="rId5"/>
    <sheet name="口座情報入力" sheetId="2" r:id="rId6"/>
    <sheet name="金額情報入力" sheetId="8" r:id="rId7"/>
    <sheet name="前払金請求書" sheetId="4" r:id="rId8"/>
    <sheet name="中間前払金請求書" sheetId="10" r:id="rId9"/>
    <sheet name="部分払請求書" sheetId="11" r:id="rId10"/>
    <sheet name="請求書" sheetId="9" r:id="rId11"/>
  </sheets>
  <definedNames>
    <definedName name="LT_口座">口座情報入力!$C$2:$D$2</definedName>
    <definedName name="LT_請求区分">TB_請求区分[List]</definedName>
    <definedName name="LT_端数処理">TB_端数処理[List]</definedName>
    <definedName name="_xlnm.Print_Area" localSheetId="5">口座情報入力!$G$14:$L$22</definedName>
    <definedName name="_xlnm.Print_Area" localSheetId="10">請求書!$B$2:$H$37</definedName>
    <definedName name="_xlnm.Print_Area" localSheetId="7">前払金請求書!$B$2:$H$35</definedName>
    <definedName name="_xlnm.Print_Area" localSheetId="8">中間前払金請求書!$B$2:$H$35</definedName>
    <definedName name="_xlnm.Print_Area" localSheetId="9">部分払請求書!$B$2:$H$36</definedName>
    <definedName name="_xlnm.Print_Area" localSheetId="3">'例)請求書'!$B$2:$H$37</definedName>
    <definedName name="_xlnm.Print_Area" localSheetId="0">'例)前払金請求書'!$B$2:$H$35</definedName>
    <definedName name="_xlnm.Print_Area" localSheetId="1">'例)中間前払金請求書'!$B$2:$H$35</definedName>
    <definedName name="_xlnm.Print_Area" localSheetId="2">'例)部分払請求書'!$B$2:$H$37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6" i="8" l="1"/>
  <c r="AJ6" i="8"/>
  <c r="AJ7" i="8"/>
  <c r="AJ8" i="8"/>
  <c r="AJ9" i="8"/>
  <c r="K38" i="9" l="1"/>
  <c r="K37" i="9"/>
  <c r="K36" i="9"/>
  <c r="K35" i="9"/>
  <c r="K34" i="9"/>
  <c r="K33" i="9"/>
  <c r="C33" i="9"/>
  <c r="K32" i="9"/>
  <c r="C32" i="9"/>
  <c r="K31" i="9"/>
  <c r="K38" i="11"/>
  <c r="C32" i="11" s="1"/>
  <c r="K37" i="11"/>
  <c r="C33" i="11" s="1"/>
  <c r="K36" i="11"/>
  <c r="K35" i="11"/>
  <c r="K34" i="11"/>
  <c r="K33" i="11"/>
  <c r="K32" i="11"/>
  <c r="K31" i="11"/>
  <c r="K21" i="11"/>
  <c r="K20" i="11"/>
  <c r="F11" i="11"/>
  <c r="F11" i="9"/>
  <c r="F9" i="9"/>
  <c r="F8" i="9"/>
  <c r="F9" i="11"/>
  <c r="F8" i="11"/>
  <c r="F9" i="10"/>
  <c r="F8" i="10"/>
  <c r="K21" i="10"/>
  <c r="K20" i="10"/>
  <c r="K35" i="10"/>
  <c r="C30" i="10" s="1"/>
  <c r="K34" i="10"/>
  <c r="C31" i="10" s="1"/>
  <c r="K33" i="10"/>
  <c r="K32" i="10"/>
  <c r="K31" i="10"/>
  <c r="K30" i="10"/>
  <c r="K29" i="10"/>
  <c r="K28" i="10"/>
  <c r="K32" i="4"/>
  <c r="K30" i="4"/>
  <c r="K28" i="4"/>
  <c r="K29" i="4"/>
  <c r="K31" i="4"/>
  <c r="K33" i="4"/>
  <c r="C29" i="4" s="1"/>
  <c r="K34" i="4"/>
  <c r="C28" i="4" s="1"/>
  <c r="K27" i="4"/>
  <c r="F9" i="4"/>
  <c r="F10" i="2"/>
  <c r="F9" i="2"/>
  <c r="F8" i="2"/>
  <c r="F7" i="2"/>
  <c r="F6" i="2"/>
  <c r="F5" i="2"/>
  <c r="F4" i="2"/>
  <c r="F3" i="2"/>
  <c r="F8" i="4"/>
  <c r="K21" i="4"/>
  <c r="K20" i="4"/>
  <c r="Q6" i="8"/>
  <c r="Q7" i="8"/>
  <c r="Q8" i="8"/>
  <c r="Q9" i="8"/>
  <c r="C31" i="9" l="1"/>
  <c r="C31" i="11"/>
  <c r="C29" i="10"/>
  <c r="C27" i="4"/>
  <c r="J9" i="8"/>
  <c r="AI6" i="8"/>
  <c r="Z6" i="8" s="1"/>
  <c r="AI7" i="8"/>
  <c r="Z7" i="8" s="1"/>
  <c r="AI8" i="8"/>
  <c r="AI9" i="8"/>
  <c r="K31" i="15"/>
  <c r="AU6" i="8"/>
  <c r="AU7" i="8"/>
  <c r="AU8" i="8"/>
  <c r="AU9" i="8"/>
  <c r="J2" i="9" s="1"/>
  <c r="P6" i="8"/>
  <c r="P7" i="8"/>
  <c r="P8" i="8"/>
  <c r="P9" i="8"/>
  <c r="AO6" i="8"/>
  <c r="AO7" i="8"/>
  <c r="K25" i="9" l="1"/>
  <c r="J2" i="11"/>
  <c r="K22" i="11" s="1"/>
  <c r="J2" i="10"/>
  <c r="K6" i="10" s="1"/>
  <c r="J2" i="4"/>
  <c r="K24" i="4" s="1"/>
  <c r="AF6" i="8"/>
  <c r="AK8" i="8"/>
  <c r="T8" i="8" s="1"/>
  <c r="T6" i="8"/>
  <c r="AH6" i="8"/>
  <c r="AH9" i="8"/>
  <c r="AH8" i="8"/>
  <c r="AH7" i="8"/>
  <c r="AF9" i="8"/>
  <c r="AF8" i="8"/>
  <c r="AF7" i="8"/>
  <c r="AG8" i="8" l="1"/>
  <c r="X8" i="8" s="1"/>
  <c r="K6" i="11"/>
  <c r="K25" i="11"/>
  <c r="K24" i="10"/>
  <c r="K6" i="4"/>
  <c r="AG6" i="8"/>
  <c r="X6" i="8" s="1"/>
  <c r="AK9" i="8" l="1"/>
  <c r="T9" i="8" s="1"/>
  <c r="K27" i="11"/>
  <c r="AK7" i="8"/>
  <c r="T7" i="8" s="1"/>
  <c r="L27" i="11"/>
  <c r="AA6" i="8"/>
  <c r="J6" i="8"/>
  <c r="J7" i="8"/>
  <c r="J8" i="8"/>
  <c r="E28" i="15"/>
  <c r="G27" i="15"/>
  <c r="E26" i="15"/>
  <c r="E25" i="15"/>
  <c r="L23" i="15"/>
  <c r="L28" i="15" s="1"/>
  <c r="F26" i="15" s="1"/>
  <c r="E22" i="15"/>
  <c r="E21" i="15"/>
  <c r="E20" i="15"/>
  <c r="G6" i="15"/>
  <c r="E28" i="14"/>
  <c r="G27" i="14"/>
  <c r="E27" i="14"/>
  <c r="E26" i="14"/>
  <c r="E25" i="14"/>
  <c r="L23" i="14"/>
  <c r="L30" i="14" s="1"/>
  <c r="F27" i="14" s="1"/>
  <c r="E22" i="14"/>
  <c r="E21" i="14"/>
  <c r="E20" i="14"/>
  <c r="G6" i="14"/>
  <c r="E26" i="13"/>
  <c r="E16" i="13" s="1"/>
  <c r="E25" i="13"/>
  <c r="E24" i="13"/>
  <c r="L22" i="13"/>
  <c r="L25" i="13" s="1"/>
  <c r="F24" i="13" s="1"/>
  <c r="E21" i="13"/>
  <c r="E20" i="13"/>
  <c r="G6" i="13"/>
  <c r="E25" i="12"/>
  <c r="E16" i="12" s="1"/>
  <c r="E24" i="12"/>
  <c r="L22" i="12"/>
  <c r="L25" i="12" s="1"/>
  <c r="F24" i="12" s="1"/>
  <c r="E21" i="12"/>
  <c r="E20" i="12"/>
  <c r="G6" i="12"/>
  <c r="K25" i="4" l="1"/>
  <c r="K25" i="10"/>
  <c r="E29" i="14"/>
  <c r="E16" i="14" s="1"/>
  <c r="E27" i="15"/>
  <c r="E29" i="15" s="1"/>
  <c r="E16" i="15" s="1"/>
  <c r="L28" i="14"/>
  <c r="F26" i="14" s="1"/>
  <c r="K6" i="8"/>
  <c r="H6" i="8" s="1"/>
  <c r="K8" i="8"/>
  <c r="H8" i="8" s="1"/>
  <c r="K7" i="8"/>
  <c r="H7" i="8" s="1"/>
  <c r="K32" i="14"/>
  <c r="F30" i="14" s="1"/>
  <c r="L26" i="14"/>
  <c r="F25" i="14" s="1"/>
  <c r="L26" i="15"/>
  <c r="F25" i="15" s="1"/>
  <c r="L30" i="15"/>
  <c r="F27" i="15" s="1"/>
  <c r="G27" i="11"/>
  <c r="E25" i="11"/>
  <c r="E22" i="11"/>
  <c r="E21" i="11"/>
  <c r="E20" i="11"/>
  <c r="G6" i="11"/>
  <c r="E24" i="10"/>
  <c r="E21" i="10"/>
  <c r="E20" i="10"/>
  <c r="G6" i="10"/>
  <c r="G27" i="9"/>
  <c r="E26" i="9"/>
  <c r="E25" i="9"/>
  <c r="E22" i="9"/>
  <c r="E21" i="9"/>
  <c r="E20" i="9"/>
  <c r="G6" i="9"/>
  <c r="L25" i="11" l="1"/>
  <c r="F25" i="11" s="1"/>
  <c r="L25" i="9"/>
  <c r="F25" i="9" s="1"/>
  <c r="L24" i="4"/>
  <c r="F24" i="4" s="1"/>
  <c r="L24" i="10"/>
  <c r="F24" i="10" s="1"/>
  <c r="Z8" i="8"/>
  <c r="Z9" i="8" s="1"/>
  <c r="AA7" i="8"/>
  <c r="AG7" i="8"/>
  <c r="X7" i="8" s="1"/>
  <c r="K32" i="15"/>
  <c r="F30" i="15" s="1"/>
  <c r="H9" i="8"/>
  <c r="E27" i="9"/>
  <c r="E27" i="11" l="1"/>
  <c r="F27" i="11"/>
  <c r="AA8" i="8"/>
  <c r="K28" i="11"/>
  <c r="E28" i="11" s="1"/>
  <c r="E25" i="10"/>
  <c r="K26" i="10"/>
  <c r="E26" i="10" s="1"/>
  <c r="E16" i="10" s="1"/>
  <c r="AC6" i="8"/>
  <c r="AC7" i="8"/>
  <c r="AC8" i="8"/>
  <c r="D9" i="8"/>
  <c r="K30" i="11" l="1"/>
  <c r="F30" i="11" s="1"/>
  <c r="E29" i="11"/>
  <c r="E16" i="11" s="1"/>
  <c r="AA9" i="8"/>
  <c r="AB9" i="8" s="1"/>
  <c r="K28" i="9"/>
  <c r="E28" i="9" s="1"/>
  <c r="E29" i="9" s="1"/>
  <c r="E16" i="9" s="1"/>
  <c r="AG9" i="8"/>
  <c r="X9" i="8" s="1"/>
  <c r="K27" i="9"/>
  <c r="E26" i="11"/>
  <c r="AB8" i="8"/>
  <c r="AD8" i="8" s="1"/>
  <c r="AB6" i="8"/>
  <c r="AD6" i="8" s="1"/>
  <c r="AB7" i="8"/>
  <c r="AD7" i="8" s="1"/>
  <c r="E21" i="4"/>
  <c r="E20" i="4"/>
  <c r="G6" i="4"/>
  <c r="E25" i="4"/>
  <c r="E16" i="4" s="1"/>
  <c r="E24" i="4"/>
  <c r="AC9" i="8" l="1"/>
  <c r="AD9" i="8" s="1"/>
  <c r="L27" i="9"/>
  <c r="F27" i="9" s="1"/>
  <c r="H20" i="2"/>
  <c r="H19" i="2"/>
  <c r="K18" i="2"/>
  <c r="H18" i="2"/>
  <c r="G16" i="2"/>
  <c r="L16" i="2"/>
  <c r="I16" i="2"/>
  <c r="J16" i="2"/>
  <c r="G17" i="2"/>
  <c r="J17" i="2"/>
</calcChain>
</file>

<file path=xl/comments1.xml><?xml version="1.0" encoding="utf-8"?>
<comments xmlns="http://schemas.openxmlformats.org/spreadsheetml/2006/main">
  <authors>
    <author>kiyosu</author>
  </authors>
  <commentList>
    <comment ref="T4" authorId="0" shapeId="0">
      <text>
        <r>
          <rPr>
            <b/>
            <sz val="9"/>
            <color indexed="81"/>
            <rFont val="MS P ゴシック"/>
            <family val="3"/>
            <charset val="128"/>
          </rPr>
          <t>完了は100円未満切捨て、それ以外は10万円未満切捨てになっています。必要に応じ任意入力欄にて調整してください。</t>
        </r>
      </text>
    </comment>
    <comment ref="O9" authorId="0" shapeId="0">
      <text>
        <r>
          <rPr>
            <b/>
            <sz val="9"/>
            <color indexed="81"/>
            <rFont val="MS P ゴシック"/>
            <family val="3"/>
            <charset val="128"/>
          </rPr>
          <t>該当がない請求区分は行を削除するか、金額入力欄に0を入力してください。</t>
        </r>
      </text>
    </comment>
  </commentList>
</comments>
</file>

<file path=xl/sharedStrings.xml><?xml version="1.0" encoding="utf-8"?>
<sst xmlns="http://schemas.openxmlformats.org/spreadsheetml/2006/main" count="566" uniqueCount="196">
  <si>
    <t>清須市水道事業 又は 清須市下水道事業</t>
    <rPh sb="0" eb="3">
      <t>キヨスシ</t>
    </rPh>
    <rPh sb="3" eb="7">
      <t>スイドウジギョウ</t>
    </rPh>
    <rPh sb="8" eb="9">
      <t>マタ</t>
    </rPh>
    <rPh sb="11" eb="14">
      <t>キヨスシ</t>
    </rPh>
    <rPh sb="14" eb="19">
      <t>ゲスイドウジギョウ</t>
    </rPh>
    <phoneticPr fontId="1"/>
  </si>
  <si>
    <t>請求金額</t>
    <rPh sb="0" eb="4">
      <t>セイキュウキンガク</t>
    </rPh>
    <phoneticPr fontId="1"/>
  </si>
  <si>
    <t>ただし、下記工事の前払金</t>
    <rPh sb="4" eb="8">
      <t>カキコウジ</t>
    </rPh>
    <rPh sb="9" eb="12">
      <t>マエバライキン</t>
    </rPh>
    <phoneticPr fontId="1"/>
  </si>
  <si>
    <t>契約件名</t>
    <rPh sb="0" eb="4">
      <t>ケイヤクケンメイ</t>
    </rPh>
    <phoneticPr fontId="1"/>
  </si>
  <si>
    <t>契約年月日</t>
    <rPh sb="0" eb="2">
      <t>ケイヤク</t>
    </rPh>
    <rPh sb="2" eb="5">
      <t>ネンガッピ</t>
    </rPh>
    <phoneticPr fontId="1"/>
  </si>
  <si>
    <t>契約金額</t>
    <rPh sb="0" eb="4">
      <t>ケイヤクキンガク</t>
    </rPh>
    <phoneticPr fontId="1"/>
  </si>
  <si>
    <t>振込先</t>
    <rPh sb="0" eb="3">
      <t>フリコミサキ</t>
    </rPh>
    <phoneticPr fontId="1"/>
  </si>
  <si>
    <t>金融機関の名称</t>
    <rPh sb="0" eb="4">
      <t>キンユウキカン</t>
    </rPh>
    <rPh sb="5" eb="7">
      <t>メイショウ</t>
    </rPh>
    <phoneticPr fontId="1"/>
  </si>
  <si>
    <t>口座種別</t>
    <rPh sb="0" eb="4">
      <t>コウザシュベツ</t>
    </rPh>
    <phoneticPr fontId="1"/>
  </si>
  <si>
    <t>本店・支店の別</t>
    <phoneticPr fontId="1"/>
  </si>
  <si>
    <t>氏名</t>
    <phoneticPr fontId="1"/>
  </si>
  <si>
    <t>名称及び
代表者氏名</t>
    <rPh sb="0" eb="2">
      <t>メイショウ</t>
    </rPh>
    <rPh sb="2" eb="3">
      <t>オヨ</t>
    </rPh>
    <rPh sb="5" eb="10">
      <t>ダイヒョウシャシメイ</t>
    </rPh>
    <phoneticPr fontId="1"/>
  </si>
  <si>
    <t>口座番号</t>
    <rPh sb="0" eb="2">
      <t>コウザ</t>
    </rPh>
    <rPh sb="2" eb="4">
      <t>バンゴウ</t>
    </rPh>
    <phoneticPr fontId="1"/>
  </si>
  <si>
    <t>口座番号</t>
    <phoneticPr fontId="1"/>
  </si>
  <si>
    <t>参考様式1</t>
    <rPh sb="0" eb="2">
      <t>サンコウ</t>
    </rPh>
    <rPh sb="2" eb="4">
      <t>ヨウシキ</t>
    </rPh>
    <phoneticPr fontId="1"/>
  </si>
  <si>
    <t>口座情報入力</t>
    <phoneticPr fontId="1"/>
  </si>
  <si>
    <t>金融機関コード</t>
    <rPh sb="0" eb="4">
      <t>キンユウキカン</t>
    </rPh>
    <phoneticPr fontId="1"/>
  </si>
  <si>
    <t>本支店の名称</t>
    <rPh sb="0" eb="3">
      <t>ホンシテン</t>
    </rPh>
    <rPh sb="4" eb="6">
      <t>メイショウ</t>
    </rPh>
    <phoneticPr fontId="1"/>
  </si>
  <si>
    <t>本支店コード</t>
    <rPh sb="0" eb="3">
      <t>ホンシテン</t>
    </rPh>
    <phoneticPr fontId="1"/>
  </si>
  <si>
    <t>口座名義人（漢字）</t>
    <rPh sb="0" eb="5">
      <t>コウザメイギニン</t>
    </rPh>
    <rPh sb="6" eb="8">
      <t>カンジ</t>
    </rPh>
    <phoneticPr fontId="1"/>
  </si>
  <si>
    <t>口座名義人（ﾌﾘｶﾞﾅ）</t>
    <rPh sb="0" eb="5">
      <t>コウザメイギニン</t>
    </rPh>
    <phoneticPr fontId="1"/>
  </si>
  <si>
    <t>項目</t>
    <rPh sb="0" eb="2">
      <t>コウモク</t>
    </rPh>
    <phoneticPr fontId="1"/>
  </si>
  <si>
    <t>入力の型</t>
    <rPh sb="0" eb="2">
      <t>ニュウリョク</t>
    </rPh>
    <rPh sb="3" eb="4">
      <t>カタ</t>
    </rPh>
    <phoneticPr fontId="1"/>
  </si>
  <si>
    <t>全角</t>
    <rPh sb="0" eb="2">
      <t>ゼンカク</t>
    </rPh>
    <phoneticPr fontId="1"/>
  </si>
  <si>
    <t>半角数字</t>
    <rPh sb="0" eb="4">
      <t>ハンカクスウジ</t>
    </rPh>
    <phoneticPr fontId="1"/>
  </si>
  <si>
    <t>選択</t>
    <rPh sb="0" eb="2">
      <t>センタク</t>
    </rPh>
    <phoneticPr fontId="1"/>
  </si>
  <si>
    <t>半角ｶﾅ</t>
    <rPh sb="0" eb="2">
      <t>ハンカク</t>
    </rPh>
    <phoneticPr fontId="1"/>
  </si>
  <si>
    <t>入力欄</t>
    <rPh sb="0" eb="3">
      <t>ニュウリョクラン</t>
    </rPh>
    <phoneticPr fontId="1"/>
  </si>
  <si>
    <t>備考</t>
    <rPh sb="0" eb="2">
      <t>ビコウ</t>
    </rPh>
    <phoneticPr fontId="1"/>
  </si>
  <si>
    <t>ﾌﾘｶﾞﾅ</t>
    <phoneticPr fontId="1"/>
  </si>
  <si>
    <t>選択肢にないものは自由入力</t>
    <rPh sb="0" eb="3">
      <t>センタクシ</t>
    </rPh>
    <rPh sb="9" eb="13">
      <t>ジユウニュウリョク</t>
    </rPh>
    <phoneticPr fontId="1"/>
  </si>
  <si>
    <t>清須市長　宛</t>
    <rPh sb="0" eb="4">
      <t>キヨスシチョウ</t>
    </rPh>
    <rPh sb="5" eb="6">
      <t>アテ</t>
    </rPh>
    <phoneticPr fontId="1"/>
  </si>
  <si>
    <t>口座情報1</t>
    <rPh sb="0" eb="2">
      <t>コウザ</t>
    </rPh>
    <rPh sb="2" eb="4">
      <t>ジョウホウ</t>
    </rPh>
    <phoneticPr fontId="1"/>
  </si>
  <si>
    <t>口座情報2</t>
    <rPh sb="0" eb="2">
      <t>コウザ</t>
    </rPh>
    <rPh sb="2" eb="4">
      <t>ジョウホウ</t>
    </rPh>
    <phoneticPr fontId="1"/>
  </si>
  <si>
    <t>項目</t>
    <rPh sb="0" eb="2">
      <t>コウモク</t>
    </rPh>
    <phoneticPr fontId="1"/>
  </si>
  <si>
    <t>契約金額</t>
    <rPh sb="0" eb="4">
      <t>ケイヤクキンガク</t>
    </rPh>
    <phoneticPr fontId="1"/>
  </si>
  <si>
    <t>部分払済額</t>
    <rPh sb="0" eb="2">
      <t>ブブン</t>
    </rPh>
    <rPh sb="2" eb="3">
      <t>バラ</t>
    </rPh>
    <rPh sb="3" eb="4">
      <t>ズ</t>
    </rPh>
    <rPh sb="4" eb="5">
      <t>ガク</t>
    </rPh>
    <phoneticPr fontId="1"/>
  </si>
  <si>
    <t>うち消費税相当額</t>
  </si>
  <si>
    <t>摘要</t>
    <rPh sb="0" eb="2">
      <t>テキヨウ</t>
    </rPh>
    <phoneticPr fontId="1"/>
  </si>
  <si>
    <t>うち消費税相当額</t>
    <phoneticPr fontId="1"/>
  </si>
  <si>
    <t>今回請求金額</t>
    <rPh sb="0" eb="2">
      <t>コンカイ</t>
    </rPh>
    <rPh sb="2" eb="6">
      <t>セイキュウキンガク</t>
    </rPh>
    <phoneticPr fontId="1"/>
  </si>
  <si>
    <t>税率</t>
    <rPh sb="0" eb="2">
      <t>ゼイリツ</t>
    </rPh>
    <phoneticPr fontId="1"/>
  </si>
  <si>
    <t>金額（入力）</t>
    <rPh sb="0" eb="2">
      <t>キンガク</t>
    </rPh>
    <rPh sb="3" eb="5">
      <t>ニュウリョク</t>
    </rPh>
    <phoneticPr fontId="1"/>
  </si>
  <si>
    <t>金額（計算）</t>
    <rPh sb="0" eb="2">
      <t>キンガク</t>
    </rPh>
    <rPh sb="3" eb="5">
      <t>ケイサン</t>
    </rPh>
    <phoneticPr fontId="1"/>
  </si>
  <si>
    <t>-</t>
    <phoneticPr fontId="1"/>
  </si>
  <si>
    <t>前払金充当額</t>
    <rPh sb="0" eb="3">
      <t>マエバライキン</t>
    </rPh>
    <rPh sb="3" eb="6">
      <t>ジュウトウガク</t>
    </rPh>
    <phoneticPr fontId="1"/>
  </si>
  <si>
    <t>A</t>
    <phoneticPr fontId="1"/>
  </si>
  <si>
    <t>B</t>
    <phoneticPr fontId="1"/>
  </si>
  <si>
    <t>C</t>
    <phoneticPr fontId="1"/>
  </si>
  <si>
    <t>D</t>
    <phoneticPr fontId="1"/>
  </si>
  <si>
    <t>E</t>
    <phoneticPr fontId="1"/>
  </si>
  <si>
    <t>請求明細</t>
    <rPh sb="0" eb="4">
      <t>セイキュウメイサイ</t>
    </rPh>
    <phoneticPr fontId="1"/>
  </si>
  <si>
    <t>検査（引渡し）年月日</t>
    <rPh sb="0" eb="2">
      <t>ケンサ</t>
    </rPh>
    <rPh sb="3" eb="5">
      <t>ヒキワタ</t>
    </rPh>
    <rPh sb="7" eb="10">
      <t>ネンガッピ</t>
    </rPh>
    <phoneticPr fontId="1"/>
  </si>
  <si>
    <t>請求書</t>
    <rPh sb="0" eb="3">
      <t>セイキュウショ</t>
    </rPh>
    <phoneticPr fontId="1"/>
  </si>
  <si>
    <t>請求日</t>
    <rPh sb="0" eb="3">
      <t>セイキュウビ</t>
    </rPh>
    <phoneticPr fontId="1"/>
  </si>
  <si>
    <t>インボイス発行済額</t>
    <rPh sb="5" eb="8">
      <t>ハッコウズ</t>
    </rPh>
    <rPh sb="8" eb="9">
      <t>ガク</t>
    </rPh>
    <phoneticPr fontId="1"/>
  </si>
  <si>
    <t>今回請求金額 C-D</t>
    <rPh sb="0" eb="6">
      <t>コンカイセイキュウキンガク</t>
    </rPh>
    <phoneticPr fontId="1"/>
  </si>
  <si>
    <t>chkERR</t>
    <phoneticPr fontId="1"/>
  </si>
  <si>
    <t>金額（円）</t>
    <rPh sb="0" eb="2">
      <t>キンガク</t>
    </rPh>
    <rPh sb="3" eb="4">
      <t>エン</t>
    </rPh>
    <phoneticPr fontId="1"/>
  </si>
  <si>
    <t>参考様式4</t>
    <rPh sb="0" eb="2">
      <t>サンコウ</t>
    </rPh>
    <rPh sb="2" eb="4">
      <t>ヨウシキ</t>
    </rPh>
    <phoneticPr fontId="1"/>
  </si>
  <si>
    <t>〇〇工事R5-1</t>
  </si>
  <si>
    <t xml:space="preserve"> </t>
    <phoneticPr fontId="1"/>
  </si>
  <si>
    <t xml:space="preserve">代表取締役　清須　太郎 </t>
    <rPh sb="0" eb="5">
      <t>ダイヒョウトリシマリヤク</t>
    </rPh>
    <rPh sb="6" eb="8">
      <t>キヨス</t>
    </rPh>
    <rPh sb="9" eb="11">
      <t>タロウ</t>
    </rPh>
    <phoneticPr fontId="1"/>
  </si>
  <si>
    <t>須ケ口建設株式会社</t>
    <rPh sb="0" eb="3">
      <t>スカグチ</t>
    </rPh>
    <rPh sb="3" eb="5">
      <t>ケンセツ</t>
    </rPh>
    <rPh sb="5" eb="9">
      <t>カブシキカイシャ</t>
    </rPh>
    <phoneticPr fontId="1"/>
  </si>
  <si>
    <t>〇〇銀行　△△支店 0001-123　当座 01234567</t>
    <rPh sb="2" eb="4">
      <t>ギンコウ</t>
    </rPh>
    <rPh sb="7" eb="9">
      <t>シテン</t>
    </rPh>
    <rPh sb="19" eb="21">
      <t>トウザ</t>
    </rPh>
    <phoneticPr fontId="1"/>
  </si>
  <si>
    <t>須ケ口建設株式会社　代表取締役　清須　太郎</t>
    <phoneticPr fontId="1"/>
  </si>
  <si>
    <t xml:space="preserve">部分払受領済額 </t>
    <rPh sb="0" eb="2">
      <t>ブブン</t>
    </rPh>
    <rPh sb="2" eb="3">
      <t>バラ</t>
    </rPh>
    <rPh sb="3" eb="5">
      <t>ジュリョウ</t>
    </rPh>
    <rPh sb="5" eb="6">
      <t>ズ</t>
    </rPh>
    <rPh sb="6" eb="7">
      <t>ガク</t>
    </rPh>
    <phoneticPr fontId="1"/>
  </si>
  <si>
    <t>登録番号 T1-1234-1234-1234</t>
    <rPh sb="0" eb="4">
      <t>トウロクバンゴウ</t>
    </rPh>
    <phoneticPr fontId="1"/>
  </si>
  <si>
    <t>法人等の名称</t>
    <rPh sb="0" eb="2">
      <t>ホウジン</t>
    </rPh>
    <rPh sb="2" eb="3">
      <t>ナド</t>
    </rPh>
    <rPh sb="4" eb="6">
      <t>メイショウ</t>
    </rPh>
    <phoneticPr fontId="1"/>
  </si>
  <si>
    <t>代表者役職</t>
    <rPh sb="0" eb="3">
      <t>ダイヒョウシャ</t>
    </rPh>
    <rPh sb="3" eb="5">
      <t>ヤクショク</t>
    </rPh>
    <phoneticPr fontId="1"/>
  </si>
  <si>
    <t>代表者氏名</t>
    <rPh sb="0" eb="5">
      <t>ダイヒョウシャシメイ</t>
    </rPh>
    <phoneticPr fontId="1"/>
  </si>
  <si>
    <t>口座情報</t>
    <rPh sb="0" eb="4">
      <t>コウザジョウホウ</t>
    </rPh>
    <phoneticPr fontId="1"/>
  </si>
  <si>
    <t>適格請求者登録番号</t>
    <rPh sb="0" eb="5">
      <t>テキカクセイキュウシャ</t>
    </rPh>
    <rPh sb="5" eb="7">
      <t>トウロク</t>
    </rPh>
    <rPh sb="7" eb="9">
      <t>バンゴウ</t>
    </rPh>
    <phoneticPr fontId="1"/>
  </si>
  <si>
    <t>→ シート「口座情報入力」に入力</t>
    <rPh sb="6" eb="10">
      <t>コウザジョウホウ</t>
    </rPh>
    <rPh sb="10" eb="12">
      <t>ニュウリョク</t>
    </rPh>
    <rPh sb="14" eb="16">
      <t>ニュウリョク</t>
    </rPh>
    <phoneticPr fontId="1"/>
  </si>
  <si>
    <t>契約情報入力</t>
    <phoneticPr fontId="1"/>
  </si>
  <si>
    <t>契約の件名</t>
    <rPh sb="0" eb="2">
      <t>ケイヤク</t>
    </rPh>
    <rPh sb="3" eb="5">
      <t>ケンメイ</t>
    </rPh>
    <phoneticPr fontId="1"/>
  </si>
  <si>
    <t>契約・支払情報</t>
    <rPh sb="0" eb="2">
      <t>ケイヤク</t>
    </rPh>
    <rPh sb="3" eb="5">
      <t>シハライ</t>
    </rPh>
    <rPh sb="5" eb="7">
      <t>ジョウホウ</t>
    </rPh>
    <phoneticPr fontId="1"/>
  </si>
  <si>
    <t>→ シート「金額情報入力」に入力</t>
    <rPh sb="6" eb="8">
      <t>キンガク</t>
    </rPh>
    <rPh sb="8" eb="10">
      <t>ジョウホウ</t>
    </rPh>
    <rPh sb="10" eb="12">
      <t>ニュウリョク</t>
    </rPh>
    <rPh sb="14" eb="16">
      <t>ニュウリョク</t>
    </rPh>
    <phoneticPr fontId="1"/>
  </si>
  <si>
    <t>須ケ口建設株式会社</t>
    <phoneticPr fontId="1"/>
  </si>
  <si>
    <t xml:space="preserve">清須　太郎 </t>
    <phoneticPr fontId="1"/>
  </si>
  <si>
    <t>代表取締役</t>
    <phoneticPr fontId="1"/>
  </si>
  <si>
    <t>T1-1234-1234-1234</t>
    <phoneticPr fontId="1"/>
  </si>
  <si>
    <t>〇〇工事 その1</t>
    <rPh sb="2" eb="4">
      <t>コウジ</t>
    </rPh>
    <phoneticPr fontId="1"/>
  </si>
  <si>
    <t>契約年月日</t>
    <rPh sb="0" eb="5">
      <t>ケイヤクネンガッピ</t>
    </rPh>
    <phoneticPr fontId="1"/>
  </si>
  <si>
    <t>契約金額</t>
    <rPh sb="0" eb="4">
      <t>ケイヤクキンガク</t>
    </rPh>
    <phoneticPr fontId="1"/>
  </si>
  <si>
    <t>摘要</t>
    <rPh sb="0" eb="2">
      <t>テキヨウ</t>
    </rPh>
    <phoneticPr fontId="1"/>
  </si>
  <si>
    <t>請求年月日</t>
    <rPh sb="0" eb="5">
      <t>セイキュウネンガッピ</t>
    </rPh>
    <phoneticPr fontId="1"/>
  </si>
  <si>
    <t>請求区分</t>
    <rPh sb="0" eb="4">
      <t>セイキュウクブン</t>
    </rPh>
    <phoneticPr fontId="1"/>
  </si>
  <si>
    <t>税率</t>
    <rPh sb="0" eb="2">
      <t>ゼイリツ</t>
    </rPh>
    <phoneticPr fontId="1"/>
  </si>
  <si>
    <t>税_手入力</t>
    <rPh sb="0" eb="1">
      <t>ゼイ</t>
    </rPh>
    <rPh sb="2" eb="5">
      <t>テニュウリョク</t>
    </rPh>
    <phoneticPr fontId="1"/>
  </si>
  <si>
    <t>消費税相当額</t>
    <rPh sb="0" eb="6">
      <t>ショウヒゼイソウトウガク</t>
    </rPh>
    <phoneticPr fontId="1"/>
  </si>
  <si>
    <t>端数処理</t>
  </si>
  <si>
    <t>工期_着手</t>
    <rPh sb="0" eb="2">
      <t>コウキ</t>
    </rPh>
    <rPh sb="3" eb="5">
      <t>チャクシュ</t>
    </rPh>
    <phoneticPr fontId="1"/>
  </si>
  <si>
    <t>工期_完了</t>
    <rPh sb="0" eb="2">
      <t>コウキチャクシュ2</t>
    </rPh>
    <rPh sb="3" eb="5">
      <t>カンリョウ</t>
    </rPh>
    <phoneticPr fontId="1"/>
  </si>
  <si>
    <t>設定税率：</t>
    <rPh sb="0" eb="4">
      <t>セッテイゼイリツ</t>
    </rPh>
    <phoneticPr fontId="1"/>
  </si>
  <si>
    <t>契約年月日</t>
    <rPh sb="0" eb="5">
      <t>ケイヤクネンガッピ</t>
    </rPh>
    <phoneticPr fontId="14"/>
  </si>
  <si>
    <t>契約金額</t>
    <rPh sb="0" eb="4">
      <t>ケイヤクキンガク</t>
    </rPh>
    <phoneticPr fontId="14"/>
  </si>
  <si>
    <t>うち消費税相当額</t>
    <rPh sb="2" eb="5">
      <t>ショウヒゼイ</t>
    </rPh>
    <rPh sb="5" eb="8">
      <t>ソウトウガク</t>
    </rPh>
    <phoneticPr fontId="14"/>
  </si>
  <si>
    <t>摘要</t>
    <rPh sb="0" eb="2">
      <t>テキヨウ</t>
    </rPh>
    <phoneticPr fontId="14"/>
  </si>
  <si>
    <t>（税込み）</t>
    <rPh sb="1" eb="3">
      <t>ゼイコ</t>
    </rPh>
    <phoneticPr fontId="14"/>
  </si>
  <si>
    <t>入力</t>
    <rPh sb="0" eb="2">
      <t>ニュウリョク</t>
    </rPh>
    <phoneticPr fontId="14"/>
  </si>
  <si>
    <t>選択</t>
    <rPh sb="0" eb="2">
      <t>センタク</t>
    </rPh>
    <phoneticPr fontId="14"/>
  </si>
  <si>
    <t>計算</t>
    <rPh sb="0" eb="2">
      <t>ケイサン</t>
    </rPh>
    <phoneticPr fontId="14"/>
  </si>
  <si>
    <t>工期</t>
    <phoneticPr fontId="14"/>
  </si>
  <si>
    <t>着手年月日</t>
    <rPh sb="0" eb="2">
      <t>チャクシュ</t>
    </rPh>
    <rPh sb="2" eb="5">
      <t>ネンガッピ</t>
    </rPh>
    <phoneticPr fontId="14"/>
  </si>
  <si>
    <t>履行期限</t>
    <rPh sb="0" eb="4">
      <t>リコウキゲン</t>
    </rPh>
    <phoneticPr fontId="14"/>
  </si>
  <si>
    <t>税率</t>
    <rPh sb="0" eb="2">
      <t>ゼイリツ</t>
    </rPh>
    <phoneticPr fontId="14"/>
  </si>
  <si>
    <t>端数処理方法</t>
    <rPh sb="0" eb="4">
      <t>ハスウショリ</t>
    </rPh>
    <rPh sb="4" eb="6">
      <t>ホウホウ</t>
    </rPh>
    <phoneticPr fontId="14"/>
  </si>
  <si>
    <t>任意入力</t>
    <rPh sb="0" eb="2">
      <t>ニンイ</t>
    </rPh>
    <rPh sb="2" eb="4">
      <t>ニュウリョク</t>
    </rPh>
    <phoneticPr fontId="14"/>
  </si>
  <si>
    <t>請求年月日</t>
    <rPh sb="0" eb="2">
      <t>セイキュウ</t>
    </rPh>
    <rPh sb="2" eb="5">
      <t>ネンガッピ</t>
    </rPh>
    <phoneticPr fontId="14"/>
  </si>
  <si>
    <t>請求区分</t>
    <rPh sb="0" eb="2">
      <t>セイキュウ</t>
    </rPh>
    <rPh sb="2" eb="4">
      <t>クブン</t>
    </rPh>
    <phoneticPr fontId="14"/>
  </si>
  <si>
    <t>請求対象金額</t>
    <rPh sb="0" eb="4">
      <t>セイキュウタイショウ</t>
    </rPh>
    <rPh sb="4" eb="6">
      <t>キンガク</t>
    </rPh>
    <phoneticPr fontId="14"/>
  </si>
  <si>
    <t>前払金充当額</t>
    <phoneticPr fontId="14"/>
  </si>
  <si>
    <t>請求金額</t>
    <rPh sb="0" eb="4">
      <t>セイキュウキンガク</t>
    </rPh>
    <phoneticPr fontId="14"/>
  </si>
  <si>
    <t>請求金額</t>
    <phoneticPr fontId="14"/>
  </si>
  <si>
    <t>摘要</t>
    <phoneticPr fontId="14"/>
  </si>
  <si>
    <t>支払情報入力</t>
    <rPh sb="0" eb="6">
      <t>シハライジョウホウニュウリョク</t>
    </rPh>
    <phoneticPr fontId="14"/>
  </si>
  <si>
    <t>残請求金額</t>
    <rPh sb="0" eb="1">
      <t>ザン</t>
    </rPh>
    <rPh sb="1" eb="5">
      <t>セイキュウキンガク</t>
    </rPh>
    <phoneticPr fontId="14"/>
  </si>
  <si>
    <t>うち消費税</t>
    <rPh sb="2" eb="5">
      <t>ショウヒゼイ</t>
    </rPh>
    <phoneticPr fontId="14"/>
  </si>
  <si>
    <t>端数chk</t>
    <rPh sb="0" eb="2">
      <t>ハスウ</t>
    </rPh>
    <phoneticPr fontId="14"/>
  </si>
  <si>
    <t>今回請求対象金額</t>
    <rPh sb="0" eb="2">
      <t>コンカイ</t>
    </rPh>
    <rPh sb="2" eb="6">
      <t>セイキュウタイショウ</t>
    </rPh>
    <rPh sb="6" eb="8">
      <t>キンガク</t>
    </rPh>
    <phoneticPr fontId="1"/>
  </si>
  <si>
    <t>前払金請求書</t>
    <rPh sb="3" eb="6">
      <t>セイキュウショ</t>
    </rPh>
    <phoneticPr fontId="1"/>
  </si>
  <si>
    <t>前払金請求額</t>
    <rPh sb="0" eb="3">
      <t>マエバライキン</t>
    </rPh>
    <rPh sb="3" eb="6">
      <t>セイキュウガク</t>
    </rPh>
    <phoneticPr fontId="1"/>
  </si>
  <si>
    <t>前払金請求額</t>
    <rPh sb="0" eb="3">
      <t>マエバライキン</t>
    </rPh>
    <rPh sb="3" eb="5">
      <t>セイキュウ</t>
    </rPh>
    <rPh sb="5" eb="6">
      <t>ガク</t>
    </rPh>
    <phoneticPr fontId="1"/>
  </si>
  <si>
    <t>-</t>
    <phoneticPr fontId="1"/>
  </si>
  <si>
    <t>参考様式2</t>
    <rPh sb="0" eb="2">
      <t>サンコウ</t>
    </rPh>
    <rPh sb="2" eb="4">
      <t>ヨウシキ</t>
    </rPh>
    <phoneticPr fontId="1"/>
  </si>
  <si>
    <t>中間前払金請求書</t>
    <rPh sb="0" eb="2">
      <t>チュウカン</t>
    </rPh>
    <rPh sb="5" eb="8">
      <t>セイキュウショ</t>
    </rPh>
    <phoneticPr fontId="1"/>
  </si>
  <si>
    <t>前払金受領済額</t>
    <rPh sb="0" eb="3">
      <t>マエバライキン</t>
    </rPh>
    <rPh sb="3" eb="5">
      <t>ジュリョウ</t>
    </rPh>
    <rPh sb="5" eb="6">
      <t>ズ</t>
    </rPh>
    <rPh sb="6" eb="7">
      <t>ガク</t>
    </rPh>
    <phoneticPr fontId="1"/>
  </si>
  <si>
    <t>中間前払金請求額</t>
    <rPh sb="0" eb="2">
      <t>チュウカン</t>
    </rPh>
    <rPh sb="2" eb="5">
      <t>マエバライキン</t>
    </rPh>
    <rPh sb="5" eb="8">
      <t>セイキュウガク</t>
    </rPh>
    <phoneticPr fontId="1"/>
  </si>
  <si>
    <t>前払金受領済額</t>
    <rPh sb="0" eb="3">
      <t>マエバライキン</t>
    </rPh>
    <rPh sb="3" eb="5">
      <t>ジュリョウ</t>
    </rPh>
    <rPh sb="5" eb="6">
      <t>スミ</t>
    </rPh>
    <rPh sb="6" eb="7">
      <t>ガク</t>
    </rPh>
    <phoneticPr fontId="1"/>
  </si>
  <si>
    <t>中間前払金請求額</t>
    <rPh sb="0" eb="2">
      <t>チュウカン</t>
    </rPh>
    <rPh sb="2" eb="5">
      <t>マエバライキン</t>
    </rPh>
    <rPh sb="5" eb="7">
      <t>セイキュウ</t>
    </rPh>
    <rPh sb="7" eb="8">
      <t>ガク</t>
    </rPh>
    <phoneticPr fontId="1"/>
  </si>
  <si>
    <t>ただし、下記工事の中間前払金</t>
    <rPh sb="4" eb="8">
      <t>カキコウジ</t>
    </rPh>
    <rPh sb="11" eb="14">
      <t>マエバライキン</t>
    </rPh>
    <phoneticPr fontId="1"/>
  </si>
  <si>
    <t>部分払請求書</t>
    <rPh sb="3" eb="6">
      <t>セイキュウショ</t>
    </rPh>
    <phoneticPr fontId="1"/>
  </si>
  <si>
    <t>参考様式3</t>
    <rPh sb="0" eb="2">
      <t>サンコウ</t>
    </rPh>
    <rPh sb="2" eb="4">
      <t>ヨウシキ</t>
    </rPh>
    <phoneticPr fontId="1"/>
  </si>
  <si>
    <t>出来形検査年月日</t>
    <rPh sb="0" eb="3">
      <t>デキガタ</t>
    </rPh>
    <rPh sb="3" eb="5">
      <t>ケンサ</t>
    </rPh>
    <rPh sb="5" eb="8">
      <t>ネンガッピ</t>
    </rPh>
    <phoneticPr fontId="1"/>
  </si>
  <si>
    <t>ただし、下記工事の部分払金</t>
    <rPh sb="4" eb="8">
      <t>カキコウジ</t>
    </rPh>
    <rPh sb="9" eb="11">
      <t>ブブン</t>
    </rPh>
    <rPh sb="11" eb="12">
      <t>バライ</t>
    </rPh>
    <rPh sb="12" eb="13">
      <t>キン</t>
    </rPh>
    <phoneticPr fontId="1"/>
  </si>
  <si>
    <t>基本情報入力</t>
    <phoneticPr fontId="1"/>
  </si>
  <si>
    <t>計算用</t>
    <rPh sb="0" eb="3">
      <t>ケイサンヨウ</t>
    </rPh>
    <phoneticPr fontId="14"/>
  </si>
  <si>
    <t>適用税率</t>
    <rPh sb="0" eb="4">
      <t>テキヨウゼイリツ</t>
    </rPh>
    <phoneticPr fontId="14"/>
  </si>
  <si>
    <t>税端数</t>
    <rPh sb="0" eb="1">
      <t>ゼイ</t>
    </rPh>
    <rPh sb="1" eb="3">
      <t>ハスウ</t>
    </rPh>
    <phoneticPr fontId="14"/>
  </si>
  <si>
    <t>MT_端数処理</t>
    <rPh sb="3" eb="7">
      <t>ハスウショリ</t>
    </rPh>
    <phoneticPr fontId="14"/>
  </si>
  <si>
    <t>Str</t>
  </si>
  <si>
    <t>切上げ</t>
    <rPh sb="0" eb="2">
      <t>キリア</t>
    </rPh>
    <phoneticPr fontId="14"/>
  </si>
  <si>
    <t>切捨て</t>
    <rPh sb="0" eb="2">
      <t>キリス</t>
    </rPh>
    <phoneticPr fontId="14"/>
  </si>
  <si>
    <t>List</t>
  </si>
  <si>
    <t>Code</t>
  </si>
  <si>
    <t>Val1</t>
    <phoneticPr fontId="14"/>
  </si>
  <si>
    <t>Note</t>
    <phoneticPr fontId="14"/>
  </si>
  <si>
    <t>01 切上げ</t>
  </si>
  <si>
    <t>02 切捨て</t>
  </si>
  <si>
    <t>税端数</t>
    <rPh sb="0" eb="3">
      <t>ゼイハスウ</t>
    </rPh>
    <phoneticPr fontId="14"/>
  </si>
  <si>
    <t>前払</t>
    <rPh sb="0" eb="2">
      <t>マエバラ</t>
    </rPh>
    <phoneticPr fontId="14"/>
  </si>
  <si>
    <t>中間前払</t>
    <rPh sb="0" eb="2">
      <t>チュウカン</t>
    </rPh>
    <rPh sb="2" eb="4">
      <t>マエバラ</t>
    </rPh>
    <phoneticPr fontId="14"/>
  </si>
  <si>
    <t>部分払</t>
    <phoneticPr fontId="14"/>
  </si>
  <si>
    <t>完了</t>
    <rPh sb="0" eb="2">
      <t>カンリョウ</t>
    </rPh>
    <phoneticPr fontId="14"/>
  </si>
  <si>
    <t>Val2</t>
  </si>
  <si>
    <t>MT_請求区分</t>
    <phoneticPr fontId="14"/>
  </si>
  <si>
    <t>回数</t>
    <rPh sb="0" eb="2">
      <t>カイスウ</t>
    </rPh>
    <phoneticPr fontId="14"/>
  </si>
  <si>
    <t>回数</t>
    <phoneticPr fontId="14"/>
  </si>
  <si>
    <t>01 前払</t>
  </si>
  <si>
    <t>02 中間前払</t>
  </si>
  <si>
    <t>03 部分払</t>
  </si>
  <si>
    <t>端数処理</t>
    <rPh sb="0" eb="4">
      <t>ハスウショリ</t>
    </rPh>
    <phoneticPr fontId="14"/>
  </si>
  <si>
    <t>04 完了</t>
  </si>
  <si>
    <t>請求区分CD</t>
    <rPh sb="0" eb="4">
      <t>セイキュウクブン</t>
    </rPh>
    <phoneticPr fontId="14"/>
  </si>
  <si>
    <r>
      <t xml:space="preserve">残請求金額
</t>
    </r>
    <r>
      <rPr>
        <b/>
        <sz val="9"/>
        <color theme="1"/>
        <rFont val="Yu Gothic"/>
        <family val="3"/>
        <charset val="128"/>
      </rPr>
      <t>（前払金除く）</t>
    </r>
    <rPh sb="0" eb="1">
      <t>ザン</t>
    </rPh>
    <rPh sb="1" eb="5">
      <t>セイキュウキンガク</t>
    </rPh>
    <rPh sb="7" eb="10">
      <t>マエバライキン</t>
    </rPh>
    <rPh sb="10" eb="11">
      <t>ノゾ</t>
    </rPh>
    <phoneticPr fontId="14"/>
  </si>
  <si>
    <t>請求日時点の
契約金額</t>
    <rPh sb="0" eb="3">
      <t>セイキュウビ</t>
    </rPh>
    <rPh sb="3" eb="5">
      <t>ジテン</t>
    </rPh>
    <rPh sb="7" eb="11">
      <t>ケイヤクキンガク</t>
    </rPh>
    <phoneticPr fontId="14"/>
  </si>
  <si>
    <t>時点契約金額</t>
    <phoneticPr fontId="14"/>
  </si>
  <si>
    <t>出来高</t>
    <phoneticPr fontId="14"/>
  </si>
  <si>
    <r>
      <t xml:space="preserve">出来高
</t>
    </r>
    <r>
      <rPr>
        <b/>
        <sz val="9"/>
        <color theme="1"/>
        <rFont val="Yu Gothic"/>
        <family val="3"/>
        <charset val="128"/>
      </rPr>
      <t>（部分払のみ）</t>
    </r>
    <rPh sb="0" eb="3">
      <t>デキダカ</t>
    </rPh>
    <rPh sb="5" eb="7">
      <t>ブブン</t>
    </rPh>
    <rPh sb="7" eb="8">
      <t>ハラ</t>
    </rPh>
    <phoneticPr fontId="14"/>
  </si>
  <si>
    <t>請求対象金額_入力</t>
    <rPh sb="7" eb="9">
      <t>ニュウリョク</t>
    </rPh>
    <phoneticPr fontId="14"/>
  </si>
  <si>
    <t>Val3</t>
  </si>
  <si>
    <t>率</t>
    <rPh sb="0" eb="1">
      <t>リツ</t>
    </rPh>
    <phoneticPr fontId="14"/>
  </si>
  <si>
    <t>控除額</t>
    <rPh sb="0" eb="3">
      <t>コウジョガク</t>
    </rPh>
    <phoneticPr fontId="14"/>
  </si>
  <si>
    <t>控除額</t>
    <rPh sb="0" eb="2">
      <t>コウジョ</t>
    </rPh>
    <rPh sb="2" eb="3">
      <t>ガク</t>
    </rPh>
    <phoneticPr fontId="14"/>
  </si>
  <si>
    <t>請求対象金額</t>
    <phoneticPr fontId="1"/>
  </si>
  <si>
    <t>前払金充当額_入力</t>
    <rPh sb="7" eb="9">
      <t>ニュウリョク</t>
    </rPh>
    <phoneticPr fontId="14"/>
  </si>
  <si>
    <t>契約締結年月日</t>
    <rPh sb="0" eb="2">
      <t>ケイヤク</t>
    </rPh>
    <rPh sb="2" eb="4">
      <t>テイケツ</t>
    </rPh>
    <rPh sb="4" eb="7">
      <t>ネンガッピ</t>
    </rPh>
    <phoneticPr fontId="1"/>
  </si>
  <si>
    <t>　</t>
    <phoneticPr fontId="1"/>
  </si>
  <si>
    <t>△△支店</t>
    <phoneticPr fontId="1"/>
  </si>
  <si>
    <t xml:space="preserve">当座 </t>
  </si>
  <si>
    <t xml:space="preserve">当座 </t>
    <phoneticPr fontId="1"/>
  </si>
  <si>
    <t>須ケ口建設株式会社　代表取締役　清須　太郎</t>
    <phoneticPr fontId="1"/>
  </si>
  <si>
    <t>〇△支店</t>
    <phoneticPr fontId="1"/>
  </si>
  <si>
    <t>建退共 須ケ口建設</t>
    <rPh sb="0" eb="3">
      <t>ケンタイキョウ</t>
    </rPh>
    <rPh sb="4" eb="7">
      <t>スカグチ</t>
    </rPh>
    <rPh sb="7" eb="9">
      <t>ケンセツ</t>
    </rPh>
    <phoneticPr fontId="1"/>
  </si>
  <si>
    <t>ｹﾝﾀｲｷｮｳ ｽｶｸﾞﾁｹﾝｾﾂ</t>
    <phoneticPr fontId="1"/>
  </si>
  <si>
    <t>口座選択</t>
    <rPh sb="0" eb="2">
      <t>コウザ</t>
    </rPh>
    <rPh sb="2" eb="4">
      <t>センタク</t>
    </rPh>
    <phoneticPr fontId="1"/>
  </si>
  <si>
    <t>検査等年月日</t>
    <rPh sb="0" eb="2">
      <t>ケンサ</t>
    </rPh>
    <rPh sb="2" eb="3">
      <t>ナド</t>
    </rPh>
    <rPh sb="3" eb="6">
      <t>ネンガッピ</t>
    </rPh>
    <phoneticPr fontId="14"/>
  </si>
  <si>
    <t>検査等年月日</t>
    <phoneticPr fontId="14"/>
  </si>
  <si>
    <t>金額（税込み）</t>
    <rPh sb="0" eb="2">
      <t>キンガク</t>
    </rPh>
    <rPh sb="3" eb="5">
      <t>ゼイコ</t>
    </rPh>
    <phoneticPr fontId="1"/>
  </si>
  <si>
    <t>消費税相当額</t>
    <phoneticPr fontId="1"/>
  </si>
  <si>
    <t>税率</t>
    <rPh sb="0" eb="2">
      <t>ゼイリツ</t>
    </rPh>
    <phoneticPr fontId="1"/>
  </si>
  <si>
    <t>〇〇銀行</t>
    <phoneticPr fontId="1"/>
  </si>
  <si>
    <t>□□銀行</t>
    <phoneticPr fontId="1"/>
  </si>
  <si>
    <t>ｽｶｸﾞﾁｹﾝｾﾂ(ｶ ﾀﾞｲﾋｮｳﾄﾘｼﾏﾘﾔｸ ｷﾖｽ ﾀﾛｳ</t>
    <phoneticPr fontId="1"/>
  </si>
  <si>
    <t>ただし、下記工事の請負代金額</t>
    <rPh sb="4" eb="8">
      <t>カキコウジ</t>
    </rPh>
    <rPh sb="9" eb="11">
      <t>ウケオイ</t>
    </rPh>
    <rPh sb="11" eb="13">
      <t>ダイキン</t>
    </rPh>
    <rPh sb="13" eb="14">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</si>
</sst>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0"/>
    <numFmt numFmtId="177" formatCode="000"/>
    <numFmt numFmtId="178" formatCode="00000000"/>
    <numFmt numFmtId="179" formatCode="#,##0_ "/>
    <numFmt numFmtId="180" formatCode="gee\.mm\.dd"/>
    <numFmt numFmtId="181" formatCode="[$-411]ggge&quot;年&quot;m&quot;月&quot;d&quot;日&quot;;@"/>
    <numFmt numFmtId="182" formatCode="&quot;金&quot;\ #,##0\ &quot;円&quot;"/>
    <numFmt numFmtId="183" formatCode="[$-411]gee\.mm\.dd;@"/>
    <numFmt numFmtId="184" formatCode="0.0%"/>
    <numFmt numFmtId="185" formatCode="#,##0_);\(#,##0\)"/>
    <numFmt numFmtId="186" formatCode="[$-411]gee\.mm\.dd\ aaa;@"/>
    <numFmt numFmtId="187" formatCode="gee\.mm\.dd\ aaa"/>
    <numFmt numFmtId="188" formatCode="#,##0.0_ "/>
  </numFmts>
  <fonts count="27">
    <font>
      <sz val="11"/>
      <color theme="1"/>
      <name val="游ゴシック"/>
      <family val="2"/>
      <charset val="128"/>
      <scheme val="minor"/>
    </font>
    <font>
      <sz val="6"/>
      <name val="游ゴシック"/>
      <family val="2"/>
      <charset val="128"/>
      <scheme val="minor"/>
    </font>
    <font>
      <sz val="12"/>
      <color theme="1"/>
      <name val="ＭＳ 明朝"/>
      <family val="1"/>
      <charset val="128"/>
    </font>
    <font>
      <sz val="9"/>
      <color theme="1"/>
      <name val="ＭＳ 明朝"/>
      <family val="1"/>
      <charset val="128"/>
    </font>
    <font>
      <b/>
      <sz val="18"/>
      <color theme="1"/>
      <name val="游ゴシック"/>
      <family val="3"/>
      <charset val="128"/>
    </font>
    <font>
      <b/>
      <sz val="16"/>
      <color theme="1"/>
      <name val="游ゴシック"/>
      <family val="3"/>
      <charset val="128"/>
    </font>
    <font>
      <b/>
      <sz val="12"/>
      <color rgb="FFFF0000"/>
      <name val="游ゴシック"/>
      <family val="3"/>
      <charset val="128"/>
    </font>
    <font>
      <sz val="11"/>
      <color theme="1"/>
      <name val="游ゴシック"/>
      <family val="3"/>
      <charset val="128"/>
    </font>
    <font>
      <sz val="10"/>
      <color theme="1"/>
      <name val="游ゴシック"/>
      <family val="3"/>
      <charset val="128"/>
    </font>
    <font>
      <b/>
      <sz val="11"/>
      <color theme="1"/>
      <name val="游ゴシック"/>
      <family val="3"/>
      <charset val="128"/>
      <scheme val="minor"/>
    </font>
    <font>
      <sz val="11"/>
      <color theme="1"/>
      <name val="游ゴシック"/>
      <family val="2"/>
      <charset val="128"/>
      <scheme val="minor"/>
    </font>
    <font>
      <b/>
      <sz val="11"/>
      <color theme="0"/>
      <name val="游ゴシック"/>
      <family val="2"/>
      <charset val="128"/>
      <scheme val="minor"/>
    </font>
    <font>
      <sz val="11"/>
      <color theme="1"/>
      <name val="游ゴシック"/>
      <family val="3"/>
      <charset val="128"/>
      <scheme val="minor"/>
    </font>
    <font>
      <b/>
      <sz val="11"/>
      <color theme="1"/>
      <name val="Yu Gothic"/>
      <family val="3"/>
      <charset val="128"/>
    </font>
    <font>
      <sz val="6"/>
      <name val="Yu Gothic"/>
      <family val="2"/>
      <charset val="128"/>
    </font>
    <font>
      <b/>
      <sz val="11"/>
      <color rgb="FFCC0000"/>
      <name val="Yu Gothic"/>
      <family val="3"/>
      <charset val="128"/>
    </font>
    <font>
      <b/>
      <sz val="11"/>
      <color rgb="FF0000FF"/>
      <name val="Yu Gothic"/>
      <family val="3"/>
      <charset val="128"/>
    </font>
    <font>
      <b/>
      <sz val="11"/>
      <color rgb="FFFF9900"/>
      <name val="Yu Gothic"/>
      <family val="3"/>
      <charset val="128"/>
    </font>
    <font>
      <b/>
      <sz val="11"/>
      <color theme="1" tint="0.499984740745262"/>
      <name val="Yu Gothic"/>
      <family val="3"/>
      <charset val="128"/>
    </font>
    <font>
      <b/>
      <sz val="11"/>
      <name val="游ゴシック"/>
      <family val="3"/>
      <charset val="128"/>
      <scheme val="minor"/>
    </font>
    <font>
      <sz val="11"/>
      <color theme="1" tint="0.499984740745262"/>
      <name val="游ゴシック"/>
      <family val="2"/>
      <charset val="128"/>
      <scheme val="minor"/>
    </font>
    <font>
      <sz val="11"/>
      <color theme="1" tint="0.499984740745262"/>
      <name val="游ゴシック"/>
      <family val="3"/>
      <charset val="128"/>
      <scheme val="minor"/>
    </font>
    <font>
      <b/>
      <sz val="9"/>
      <color theme="1"/>
      <name val="Yu Gothic"/>
      <family val="3"/>
      <charset val="128"/>
    </font>
    <font>
      <b/>
      <sz val="12"/>
      <color theme="1"/>
      <name val="游ゴシック"/>
      <family val="3"/>
      <charset val="128"/>
      <scheme val="minor"/>
    </font>
    <font>
      <b/>
      <sz val="11"/>
      <color theme="1"/>
      <name val="游ゴシック"/>
      <family val="3"/>
      <charset val="128"/>
    </font>
    <font>
      <b/>
      <sz val="9"/>
      <color indexed="81"/>
      <name val="MS P ゴシック"/>
      <family val="3"/>
      <charset val="128"/>
    </font>
    <font>
      <u/>
      <sz val="11"/>
      <color rgb="FFFF0000"/>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bgColor theme="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CC"/>
        <bgColor indexed="64"/>
      </patternFill>
    </fill>
  </fills>
  <borders count="5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dotted">
        <color indexed="64"/>
      </top>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179">
    <xf numFmtId="0" fontId="0" fillId="0" borderId="0" xfId="0">
      <alignment vertical="center"/>
    </xf>
    <xf numFmtId="0" fontId="2" fillId="0" borderId="0" xfId="0" applyFont="1">
      <alignment vertical="center"/>
    </xf>
    <xf numFmtId="0" fontId="2" fillId="0" borderId="0" xfId="0" applyFont="1" applyAlignment="1">
      <alignment horizontal="left" vertical="center" indent="1"/>
    </xf>
    <xf numFmtId="0" fontId="2" fillId="0" borderId="0" xfId="0" applyFont="1" applyAlignment="1">
      <alignment horizontal="distributed" vertical="center"/>
    </xf>
    <xf numFmtId="0" fontId="2" fillId="2" borderId="6" xfId="0" applyFont="1" applyFill="1" applyBorder="1" applyAlignment="1">
      <alignment horizontal="distributed" vertical="center" indent="1"/>
    </xf>
    <xf numFmtId="0" fontId="2" fillId="2" borderId="7" xfId="0" applyFont="1" applyFill="1" applyBorder="1" applyAlignment="1">
      <alignment horizontal="distributed" vertical="center" justifyLastLine="1"/>
    </xf>
    <xf numFmtId="0" fontId="2" fillId="2" borderId="20" xfId="0" applyFont="1" applyFill="1" applyBorder="1" applyAlignment="1">
      <alignment horizontal="distributed" vertical="center" indent="1"/>
    </xf>
    <xf numFmtId="0" fontId="2" fillId="2" borderId="23" xfId="0" applyFont="1" applyFill="1" applyBorder="1" applyAlignment="1">
      <alignment horizontal="distributed" vertical="center" wrapText="1" indent="2"/>
    </xf>
    <xf numFmtId="0" fontId="2" fillId="2" borderId="24" xfId="0" applyFont="1" applyFill="1" applyBorder="1" applyAlignment="1">
      <alignment horizontal="distributed" vertical="center" indent="1"/>
    </xf>
    <xf numFmtId="0" fontId="0" fillId="0" borderId="0" xfId="0" applyAlignment="1">
      <alignment horizontal="left" vertical="center" indent="1"/>
    </xf>
    <xf numFmtId="0" fontId="0" fillId="0" borderId="3" xfId="0" applyBorder="1" applyAlignment="1">
      <alignment horizontal="left" vertical="center" indent="1"/>
    </xf>
    <xf numFmtId="0" fontId="0" fillId="0" borderId="4"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176" fontId="0" fillId="0" borderId="7" xfId="0" applyNumberFormat="1" applyBorder="1" applyAlignment="1">
      <alignment horizontal="left" vertical="center" indent="1"/>
    </xf>
    <xf numFmtId="177" fontId="0" fillId="0" borderId="7" xfId="0" applyNumberFormat="1" applyBorder="1" applyAlignment="1">
      <alignment horizontal="left" vertical="center" indent="1"/>
    </xf>
    <xf numFmtId="178" fontId="0" fillId="0" borderId="7" xfId="0" applyNumberFormat="1" applyBorder="1" applyAlignment="1">
      <alignment horizontal="left" vertical="center" indent="1"/>
    </xf>
    <xf numFmtId="0" fontId="0" fillId="0" borderId="6" xfId="0" applyBorder="1" applyAlignment="1">
      <alignment horizontal="left" vertical="center" indent="1" shrinkToFit="1"/>
    </xf>
    <xf numFmtId="0" fontId="0" fillId="0" borderId="9" xfId="0" applyBorder="1" applyAlignment="1">
      <alignment horizontal="left" vertical="center" indent="1" shrinkToFit="1"/>
    </xf>
    <xf numFmtId="0" fontId="0" fillId="0" borderId="10" xfId="0" applyBorder="1" applyAlignment="1">
      <alignment horizontal="left" vertical="center" indent="1"/>
    </xf>
    <xf numFmtId="179" fontId="2" fillId="0" borderId="0" xfId="0" applyNumberFormat="1" applyFont="1">
      <alignment vertical="center"/>
    </xf>
    <xf numFmtId="0" fontId="4" fillId="0" borderId="0" xfId="0" applyFont="1" applyAlignment="1">
      <alignment horizontal="distributed" vertical="center" indent="18"/>
    </xf>
    <xf numFmtId="0" fontId="5" fillId="0" borderId="0" xfId="0" applyFont="1" applyAlignment="1">
      <alignment horizontal="distributed" vertical="center" indent="1"/>
    </xf>
    <xf numFmtId="0" fontId="2" fillId="0" borderId="0" xfId="0" applyFont="1" applyBorder="1" applyAlignment="1">
      <alignment horizontal="left" vertical="center" indent="1"/>
    </xf>
    <xf numFmtId="179" fontId="3" fillId="0" borderId="7" xfId="0" applyNumberFormat="1" applyFont="1" applyBorder="1" applyAlignment="1">
      <alignment vertical="center" shrinkToFit="1"/>
    </xf>
    <xf numFmtId="179" fontId="3" fillId="0" borderId="10" xfId="0" applyNumberFormat="1" applyFont="1" applyBorder="1" applyAlignment="1">
      <alignment vertical="center" shrinkToFit="1"/>
    </xf>
    <xf numFmtId="0" fontId="3" fillId="0" borderId="12" xfId="0" applyFont="1" applyBorder="1" applyAlignment="1">
      <alignment horizontal="center" vertical="center"/>
    </xf>
    <xf numFmtId="0" fontId="3" fillId="0" borderId="34" xfId="0" applyFont="1" applyBorder="1" applyAlignment="1">
      <alignment horizontal="center" vertical="center"/>
    </xf>
    <xf numFmtId="0" fontId="6" fillId="0" borderId="0" xfId="0" applyFont="1">
      <alignment vertical="center"/>
    </xf>
    <xf numFmtId="0" fontId="6" fillId="0" borderId="0" xfId="0" applyFont="1" applyAlignment="1">
      <alignment horizontal="left" vertical="center" indent="1"/>
    </xf>
    <xf numFmtId="0" fontId="7" fillId="0" borderId="0" xfId="0" applyFont="1">
      <alignment vertical="center"/>
    </xf>
    <xf numFmtId="9" fontId="7" fillId="0" borderId="0" xfId="0" applyNumberFormat="1" applyFont="1">
      <alignment vertical="center"/>
    </xf>
    <xf numFmtId="0" fontId="7" fillId="0" borderId="0" xfId="0" applyFont="1" applyAlignment="1">
      <alignment horizontal="distributed" vertical="center" justifyLastLine="1"/>
    </xf>
    <xf numFmtId="179" fontId="7" fillId="0" borderId="0" xfId="0" applyNumberFormat="1" applyFont="1">
      <alignment vertical="center"/>
    </xf>
    <xf numFmtId="0" fontId="7" fillId="0" borderId="0" xfId="0" applyFont="1" applyAlignment="1">
      <alignment horizontal="left" vertical="center" indent="1"/>
    </xf>
    <xf numFmtId="180" fontId="7" fillId="0" borderId="0" xfId="0" applyNumberFormat="1" applyFont="1" applyAlignment="1">
      <alignment horizontal="center" vertical="center"/>
    </xf>
    <xf numFmtId="180" fontId="7" fillId="0" borderId="0" xfId="0" applyNumberFormat="1" applyFont="1" applyAlignment="1">
      <alignment horizontal="left" vertical="center" indent="1"/>
    </xf>
    <xf numFmtId="0" fontId="7" fillId="0" borderId="0" xfId="0" applyFont="1" applyAlignment="1">
      <alignment horizontal="left" vertical="center" justifyLastLine="1"/>
    </xf>
    <xf numFmtId="0" fontId="8" fillId="0" borderId="0" xfId="0" applyFont="1" applyAlignment="1">
      <alignment horizontal="left" vertical="center" justifyLastLine="1"/>
    </xf>
    <xf numFmtId="181" fontId="2" fillId="0" borderId="0" xfId="0" applyNumberFormat="1" applyFont="1" applyBorder="1" applyAlignment="1">
      <alignment horizontal="left" vertical="center" indent="1"/>
    </xf>
    <xf numFmtId="181" fontId="2" fillId="0" borderId="0" xfId="0" applyNumberFormat="1" applyFont="1" applyAlignment="1">
      <alignment horizontal="distributed" vertical="center" indent="2"/>
    </xf>
    <xf numFmtId="0" fontId="0" fillId="0" borderId="0" xfId="0" applyAlignment="1">
      <alignment horizontal="distributed" vertical="center" indent="2"/>
    </xf>
    <xf numFmtId="0" fontId="0" fillId="0" borderId="0" xfId="0" applyAlignment="1">
      <alignment vertical="center"/>
    </xf>
    <xf numFmtId="0" fontId="2" fillId="0" borderId="0" xfId="0" applyFont="1" applyAlignment="1">
      <alignment vertical="center"/>
    </xf>
    <xf numFmtId="0" fontId="3" fillId="0" borderId="35" xfId="0" applyFont="1" applyBorder="1" applyAlignment="1">
      <alignment horizontal="center" vertical="center"/>
    </xf>
    <xf numFmtId="179" fontId="3" fillId="0" borderId="36" xfId="0" applyNumberFormat="1" applyFont="1" applyBorder="1" applyAlignment="1">
      <alignment vertical="center" shrinkToFit="1"/>
    </xf>
    <xf numFmtId="0" fontId="2" fillId="0" borderId="0" xfId="0" applyFont="1" applyAlignment="1">
      <alignment horizontal="left" vertical="center"/>
    </xf>
    <xf numFmtId="181" fontId="2" fillId="0" borderId="0" xfId="0" applyNumberFormat="1" applyFont="1" applyAlignment="1">
      <alignment horizontal="left" vertical="center" indent="3"/>
    </xf>
    <xf numFmtId="182" fontId="5" fillId="0" borderId="0" xfId="0" applyNumberFormat="1" applyFont="1" applyBorder="1" applyAlignment="1">
      <alignment horizontal="center" vertical="center"/>
    </xf>
    <xf numFmtId="0" fontId="0" fillId="0" borderId="0" xfId="0" applyAlignment="1">
      <alignment horizontal="distributed" vertical="center" indent="1"/>
    </xf>
    <xf numFmtId="0" fontId="9" fillId="0" borderId="0" xfId="0" applyFont="1">
      <alignment vertical="center"/>
    </xf>
    <xf numFmtId="0" fontId="3" fillId="0" borderId="30" xfId="0" applyFont="1" applyBorder="1" applyAlignment="1">
      <alignment horizontal="distributed" vertical="center" justifyLastLine="1"/>
    </xf>
    <xf numFmtId="181" fontId="2" fillId="0" borderId="0" xfId="0" applyNumberFormat="1" applyFont="1" applyBorder="1" applyAlignment="1">
      <alignment horizontal="left" vertical="center" indent="1"/>
    </xf>
    <xf numFmtId="0" fontId="4" fillId="0" borderId="0" xfId="0" applyFont="1" applyAlignment="1">
      <alignment horizontal="distributed" vertical="center" indent="18"/>
    </xf>
    <xf numFmtId="181" fontId="2" fillId="0" borderId="0" xfId="0" applyNumberFormat="1" applyFont="1" applyAlignment="1">
      <alignment horizontal="distributed" vertical="center" indent="2"/>
    </xf>
    <xf numFmtId="0" fontId="0" fillId="0" borderId="0" xfId="0" applyAlignment="1">
      <alignment horizontal="distributed" vertical="center" indent="2"/>
    </xf>
    <xf numFmtId="0" fontId="2" fillId="0" borderId="0" xfId="0" applyFont="1" applyBorder="1" applyAlignment="1">
      <alignment horizontal="left" vertical="center" indent="1"/>
    </xf>
    <xf numFmtId="0" fontId="0" fillId="0" borderId="0" xfId="0" applyAlignment="1">
      <alignment horizontal="center" vertical="center"/>
    </xf>
    <xf numFmtId="183" fontId="0" fillId="0" borderId="0" xfId="0" applyNumberFormat="1" applyAlignment="1">
      <alignment horizontal="center" vertical="center"/>
    </xf>
    <xf numFmtId="0" fontId="13" fillId="5" borderId="0" xfId="0" applyFont="1" applyFill="1" applyAlignment="1">
      <alignment horizontal="distributed" vertical="center" justifyLastLine="1"/>
    </xf>
    <xf numFmtId="0" fontId="15" fillId="6" borderId="0" xfId="0" applyFont="1" applyFill="1" applyAlignment="1">
      <alignment horizontal="center" vertical="center"/>
    </xf>
    <xf numFmtId="0" fontId="16" fillId="6" borderId="0" xfId="0" applyFont="1" applyFill="1" applyAlignment="1">
      <alignment horizontal="center" vertical="center"/>
    </xf>
    <xf numFmtId="0" fontId="17" fillId="6" borderId="0" xfId="0" applyFont="1" applyFill="1" applyAlignment="1">
      <alignment horizontal="center" vertical="center"/>
    </xf>
    <xf numFmtId="0" fontId="18" fillId="6" borderId="0" xfId="0" applyFont="1" applyFill="1" applyAlignment="1">
      <alignment horizontal="center" vertical="center"/>
    </xf>
    <xf numFmtId="0" fontId="9" fillId="0" borderId="0" xfId="0" applyFont="1" applyAlignment="1">
      <alignment horizontal="right" vertical="center"/>
    </xf>
    <xf numFmtId="0" fontId="0" fillId="0" borderId="0" xfId="0" applyAlignment="1">
      <alignment horizontal="left" vertical="center"/>
    </xf>
    <xf numFmtId="0" fontId="0" fillId="0" borderId="0" xfId="0" applyAlignment="1">
      <alignment horizontal="left" vertical="center" justifyLastLine="1"/>
    </xf>
    <xf numFmtId="0" fontId="3" fillId="0" borderId="0" xfId="0" applyFont="1" applyBorder="1" applyAlignment="1">
      <alignment horizontal="left" vertical="center" indent="1"/>
    </xf>
    <xf numFmtId="0" fontId="0" fillId="0" borderId="0" xfId="0" applyBorder="1" applyAlignment="1">
      <alignment horizontal="left" vertical="center" indent="1"/>
    </xf>
    <xf numFmtId="0" fontId="3" fillId="0" borderId="0" xfId="0" applyFont="1" applyBorder="1" applyAlignment="1">
      <alignment horizontal="center" vertical="center"/>
    </xf>
    <xf numFmtId="179" fontId="3" fillId="0" borderId="0" xfId="0" applyNumberFormat="1" applyFont="1" applyBorder="1" applyAlignment="1">
      <alignment vertical="center" shrinkToFit="1"/>
    </xf>
    <xf numFmtId="0" fontId="3" fillId="0" borderId="0" xfId="0" applyFont="1" applyBorder="1" applyAlignment="1">
      <alignment vertical="center"/>
    </xf>
    <xf numFmtId="0" fontId="0" fillId="0" borderId="0" xfId="0" applyBorder="1" applyAlignment="1">
      <alignment vertical="center"/>
    </xf>
    <xf numFmtId="0" fontId="3" fillId="0" borderId="48" xfId="0" applyFont="1" applyBorder="1" applyAlignment="1">
      <alignment horizontal="center" vertical="center"/>
    </xf>
    <xf numFmtId="179" fontId="3" fillId="0" borderId="49" xfId="0" applyNumberFormat="1" applyFont="1" applyBorder="1" applyAlignment="1">
      <alignment vertical="center" shrinkToFit="1"/>
    </xf>
    <xf numFmtId="0" fontId="3" fillId="0" borderId="50" xfId="0" applyFont="1" applyBorder="1" applyAlignment="1">
      <alignment vertical="center"/>
    </xf>
    <xf numFmtId="0" fontId="0" fillId="0" borderId="51" xfId="0" applyBorder="1" applyAlignment="1">
      <alignment vertical="center"/>
    </xf>
    <xf numFmtId="0" fontId="0" fillId="7" borderId="0" xfId="0" applyFill="1" applyAlignment="1">
      <alignment horizontal="left" vertical="center" indent="1"/>
    </xf>
    <xf numFmtId="0" fontId="0" fillId="7" borderId="0" xfId="0" applyFill="1">
      <alignment vertical="center"/>
    </xf>
    <xf numFmtId="0" fontId="12" fillId="0" borderId="0" xfId="0" applyFont="1" applyAlignment="1">
      <alignment horizontal="distributed" vertical="center" indent="1"/>
    </xf>
    <xf numFmtId="0" fontId="19" fillId="3" borderId="29" xfId="0" applyFont="1" applyFill="1" applyBorder="1" applyAlignment="1">
      <alignment horizontal="distributed" vertical="center" justifyLastLine="1"/>
    </xf>
    <xf numFmtId="0" fontId="19" fillId="3" borderId="30" xfId="0" applyFont="1" applyFill="1" applyBorder="1" applyAlignment="1">
      <alignment horizontal="distributed" vertical="center" justifyLastLine="1"/>
    </xf>
    <xf numFmtId="0" fontId="19" fillId="3" borderId="31" xfId="0" applyFont="1" applyFill="1" applyBorder="1" applyAlignment="1">
      <alignment horizontal="distributed" vertical="center" justifyLastLine="1"/>
    </xf>
    <xf numFmtId="0" fontId="9" fillId="3" borderId="29" xfId="0" applyFont="1" applyFill="1" applyBorder="1" applyAlignment="1">
      <alignment horizontal="distributed" vertical="center" justifyLastLine="1"/>
    </xf>
    <xf numFmtId="0" fontId="9" fillId="3" borderId="30" xfId="0" applyFont="1" applyFill="1" applyBorder="1" applyAlignment="1">
      <alignment horizontal="distributed" vertical="center" justifyLastLine="1"/>
    </xf>
    <xf numFmtId="0" fontId="9" fillId="3" borderId="31" xfId="0" applyFont="1" applyFill="1" applyBorder="1" applyAlignment="1">
      <alignment horizontal="distributed" vertical="center" justifyLastLine="1"/>
    </xf>
    <xf numFmtId="179" fontId="0" fillId="0" borderId="0" xfId="0" applyNumberFormat="1">
      <alignment vertical="center"/>
    </xf>
    <xf numFmtId="184" fontId="9" fillId="7" borderId="0" xfId="0" applyNumberFormat="1" applyFont="1" applyFill="1">
      <alignment vertical="center"/>
    </xf>
    <xf numFmtId="0" fontId="20" fillId="0" borderId="0" xfId="0" applyFont="1" applyAlignment="1">
      <alignment horizontal="left" vertical="center" justifyLastLine="1"/>
    </xf>
    <xf numFmtId="184" fontId="21" fillId="0" borderId="0" xfId="1" applyNumberFormat="1" applyFont="1">
      <alignment vertical="center"/>
    </xf>
    <xf numFmtId="185" fontId="21" fillId="0" borderId="0" xfId="1" applyNumberFormat="1" applyFont="1">
      <alignment vertical="center"/>
    </xf>
    <xf numFmtId="185" fontId="0" fillId="0" borderId="0" xfId="0" applyNumberFormat="1">
      <alignment vertical="center"/>
    </xf>
    <xf numFmtId="0" fontId="18" fillId="5" borderId="0" xfId="0" applyFont="1" applyFill="1" applyAlignment="1">
      <alignment horizontal="distributed" vertical="center" justifyLastLine="1"/>
    </xf>
    <xf numFmtId="0" fontId="11" fillId="4" borderId="53" xfId="0" applyFont="1" applyFill="1" applyBorder="1">
      <alignment vertical="center"/>
    </xf>
    <xf numFmtId="0" fontId="11" fillId="4" borderId="54" xfId="0" applyFont="1" applyFill="1" applyBorder="1">
      <alignment vertical="center"/>
    </xf>
    <xf numFmtId="0" fontId="11" fillId="4" borderId="55" xfId="0" applyFont="1" applyFill="1" applyBorder="1">
      <alignment vertical="center"/>
    </xf>
    <xf numFmtId="186" fontId="0" fillId="0" borderId="0" xfId="0" applyNumberFormat="1" applyAlignment="1">
      <alignment horizontal="center" vertical="center"/>
    </xf>
    <xf numFmtId="187" fontId="0" fillId="0" borderId="0" xfId="0" applyNumberFormat="1" applyAlignment="1">
      <alignment horizontal="center" vertical="center"/>
    </xf>
    <xf numFmtId="179" fontId="0" fillId="0" borderId="0" xfId="0" quotePrefix="1" applyNumberFormat="1">
      <alignment vertical="center"/>
    </xf>
    <xf numFmtId="179" fontId="21" fillId="0" borderId="0" xfId="1" applyNumberFormat="1" applyFont="1">
      <alignment vertical="center"/>
    </xf>
    <xf numFmtId="185" fontId="21" fillId="0" borderId="0" xfId="0" applyNumberFormat="1" applyFont="1">
      <alignment vertical="center"/>
    </xf>
    <xf numFmtId="179" fontId="21" fillId="0" borderId="0" xfId="0" applyNumberFormat="1" applyFont="1">
      <alignment vertical="center"/>
    </xf>
    <xf numFmtId="0" fontId="21" fillId="0" borderId="0" xfId="0" applyFont="1">
      <alignment vertical="center"/>
    </xf>
    <xf numFmtId="10" fontId="0" fillId="0" borderId="0" xfId="1" applyNumberFormat="1" applyFont="1">
      <alignment vertical="center"/>
    </xf>
    <xf numFmtId="0" fontId="13" fillId="5" borderId="0" xfId="0" applyFont="1" applyFill="1" applyAlignment="1">
      <alignment horizontal="distributed" vertical="center" justifyLastLine="1"/>
    </xf>
    <xf numFmtId="188" fontId="21" fillId="0" borderId="0" xfId="1" applyNumberFormat="1" applyFont="1">
      <alignment vertical="center"/>
    </xf>
    <xf numFmtId="188" fontId="21" fillId="0" borderId="0" xfId="0" applyNumberFormat="1" applyFont="1">
      <alignment vertical="center"/>
    </xf>
    <xf numFmtId="0" fontId="23" fillId="0" borderId="0" xfId="0" applyFont="1">
      <alignment vertical="center"/>
    </xf>
    <xf numFmtId="180" fontId="0" fillId="7" borderId="0" xfId="0" applyNumberFormat="1" applyFill="1" applyAlignment="1">
      <alignment horizontal="left" vertical="center" indent="1"/>
    </xf>
    <xf numFmtId="179" fontId="7" fillId="0" borderId="0" xfId="0" applyNumberFormat="1" applyFont="1" applyAlignment="1">
      <alignment vertical="center"/>
    </xf>
    <xf numFmtId="0" fontId="7" fillId="0" borderId="0" xfId="0" applyNumberFormat="1" applyFont="1" applyAlignment="1">
      <alignment horizontal="center" vertical="center"/>
    </xf>
    <xf numFmtId="0" fontId="24" fillId="0" borderId="0" xfId="0" applyFont="1" applyAlignment="1">
      <alignment horizontal="distributed" vertical="center" justifyLastLine="1"/>
    </xf>
    <xf numFmtId="0" fontId="7" fillId="0" borderId="0" xfId="0" applyFont="1" applyAlignment="1">
      <alignment horizontal="left" vertical="center"/>
    </xf>
    <xf numFmtId="0" fontId="0" fillId="6" borderId="4" xfId="0" applyFill="1" applyBorder="1" applyAlignment="1">
      <alignment horizontal="left" vertical="center" indent="1"/>
    </xf>
    <xf numFmtId="0" fontId="0" fillId="6" borderId="5" xfId="0" applyFill="1" applyBorder="1">
      <alignment vertical="center"/>
    </xf>
    <xf numFmtId="176" fontId="0" fillId="6" borderId="7" xfId="0" applyNumberFormat="1" applyFill="1" applyBorder="1" applyAlignment="1">
      <alignment horizontal="left" vertical="center" indent="1"/>
    </xf>
    <xf numFmtId="0" fontId="0" fillId="6" borderId="8" xfId="0" applyFill="1" applyBorder="1">
      <alignment vertical="center"/>
    </xf>
    <xf numFmtId="0" fontId="0" fillId="6" borderId="7" xfId="0" applyFill="1" applyBorder="1" applyAlignment="1">
      <alignment horizontal="left" vertical="center" indent="1"/>
    </xf>
    <xf numFmtId="177" fontId="0" fillId="6" borderId="7" xfId="0" applyNumberFormat="1" applyFill="1" applyBorder="1" applyAlignment="1">
      <alignment horizontal="left" vertical="center" indent="1"/>
    </xf>
    <xf numFmtId="0" fontId="0" fillId="6" borderId="8" xfId="0" applyFill="1" applyBorder="1" applyAlignment="1">
      <alignment horizontal="left" vertical="center" indent="1"/>
    </xf>
    <xf numFmtId="178" fontId="0" fillId="6" borderId="7" xfId="0" applyNumberFormat="1" applyFill="1" applyBorder="1" applyAlignment="1">
      <alignment horizontal="left" vertical="center" indent="1"/>
    </xf>
    <xf numFmtId="0" fontId="0" fillId="6" borderId="10" xfId="0" applyFill="1" applyBorder="1" applyAlignment="1">
      <alignment horizontal="left" vertical="center" indent="1"/>
    </xf>
    <xf numFmtId="0" fontId="0" fillId="6" borderId="11" xfId="0" applyFill="1" applyBorder="1">
      <alignment vertical="center"/>
    </xf>
    <xf numFmtId="0" fontId="26" fillId="0" borderId="0" xfId="0" applyFont="1">
      <alignment vertical="center"/>
    </xf>
    <xf numFmtId="0" fontId="3" fillId="0" borderId="16" xfId="0" applyFont="1" applyBorder="1" applyAlignment="1">
      <alignment horizontal="left" vertical="center" indent="1"/>
    </xf>
    <xf numFmtId="0" fontId="0" fillId="0" borderId="17" xfId="0" applyBorder="1" applyAlignment="1">
      <alignment horizontal="left" vertical="center" indent="1"/>
    </xf>
    <xf numFmtId="0" fontId="3" fillId="0" borderId="19" xfId="0" applyFont="1" applyBorder="1" applyAlignment="1">
      <alignment vertical="center"/>
    </xf>
    <xf numFmtId="0" fontId="0" fillId="0" borderId="45" xfId="0" applyBorder="1" applyAlignment="1">
      <alignment vertical="center"/>
    </xf>
    <xf numFmtId="0" fontId="3" fillId="0" borderId="33" xfId="0" applyFont="1" applyBorder="1" applyAlignment="1">
      <alignment horizontal="left" vertical="center" indent="1"/>
    </xf>
    <xf numFmtId="0" fontId="0" fillId="0" borderId="41" xfId="0" applyBorder="1" applyAlignment="1">
      <alignment horizontal="left" vertical="center" indent="1"/>
    </xf>
    <xf numFmtId="0" fontId="3" fillId="0" borderId="43" xfId="0" applyFont="1" applyBorder="1" applyAlignment="1">
      <alignment vertical="center"/>
    </xf>
    <xf numFmtId="0" fontId="0" fillId="0" borderId="44" xfId="0" applyBorder="1" applyAlignment="1">
      <alignment vertical="center"/>
    </xf>
    <xf numFmtId="0" fontId="4" fillId="0" borderId="0" xfId="0" applyFont="1" applyAlignment="1">
      <alignment horizontal="distributed" vertical="center" indent="15"/>
    </xf>
    <xf numFmtId="181" fontId="2" fillId="0" borderId="0" xfId="0" applyNumberFormat="1" applyFont="1" applyAlignment="1">
      <alignment horizontal="distributed" vertical="center" indent="1"/>
    </xf>
    <xf numFmtId="0" fontId="0" fillId="0" borderId="0" xfId="0" applyAlignment="1">
      <alignment horizontal="distributed" vertical="center" indent="1"/>
    </xf>
    <xf numFmtId="182" fontId="5" fillId="0" borderId="2" xfId="0" applyNumberFormat="1" applyFont="1" applyBorder="1" applyAlignment="1">
      <alignment horizontal="center" vertical="center"/>
    </xf>
    <xf numFmtId="180" fontId="2" fillId="0" borderId="0" xfId="0" applyNumberFormat="1" applyFont="1" applyBorder="1" applyAlignment="1">
      <alignment horizontal="left" vertical="center" indent="1"/>
    </xf>
    <xf numFmtId="0" fontId="2" fillId="0" borderId="0" xfId="0" applyFont="1" applyBorder="1" applyAlignment="1">
      <alignment horizontal="left" vertical="center" indent="1"/>
    </xf>
    <xf numFmtId="181" fontId="2" fillId="0" borderId="0" xfId="0" applyNumberFormat="1" applyFont="1" applyBorder="1" applyAlignment="1">
      <alignment horizontal="left" vertical="center" indent="1"/>
    </xf>
    <xf numFmtId="0" fontId="3" fillId="0" borderId="37" xfId="0" applyFont="1" applyBorder="1" applyAlignment="1">
      <alignment horizontal="distributed" vertical="center" justifyLastLine="1"/>
    </xf>
    <xf numFmtId="0" fontId="0" fillId="0" borderId="38" xfId="0" applyBorder="1" applyAlignment="1">
      <alignment horizontal="distributed" vertical="center" justifyLastLine="1"/>
    </xf>
    <xf numFmtId="0" fontId="0" fillId="0" borderId="39" xfId="0" applyBorder="1" applyAlignment="1">
      <alignment horizontal="distributed" vertical="center" justifyLastLine="1"/>
    </xf>
    <xf numFmtId="0" fontId="3" fillId="0" borderId="46" xfId="0" applyFont="1" applyBorder="1" applyAlignment="1">
      <alignment horizontal="distributed" vertical="center" justifyLastLine="1"/>
    </xf>
    <xf numFmtId="0" fontId="0" fillId="0" borderId="47" xfId="0" applyBorder="1" applyAlignment="1">
      <alignment horizontal="distributed" vertical="center" justifyLastLine="1"/>
    </xf>
    <xf numFmtId="0" fontId="3" fillId="0" borderId="32" xfId="0" applyFont="1" applyBorder="1" applyAlignment="1">
      <alignment horizontal="left" vertical="center" indent="1"/>
    </xf>
    <xf numFmtId="0" fontId="0" fillId="0" borderId="40" xfId="0" applyBorder="1" applyAlignment="1">
      <alignment horizontal="left" vertical="center" indent="1"/>
    </xf>
    <xf numFmtId="0" fontId="3" fillId="0" borderId="52" xfId="0" applyFont="1" applyBorder="1" applyAlignment="1">
      <alignment horizontal="left" vertical="center" indent="1"/>
    </xf>
    <xf numFmtId="0" fontId="0" fillId="0" borderId="2" xfId="0" applyBorder="1" applyAlignment="1">
      <alignment horizontal="left" vertical="center" indent="1"/>
    </xf>
    <xf numFmtId="0" fontId="3" fillId="0" borderId="42" xfId="0" applyFont="1" applyBorder="1" applyAlignment="1">
      <alignment vertical="center"/>
    </xf>
    <xf numFmtId="0" fontId="0" fillId="0" borderId="13" xfId="0" applyBorder="1" applyAlignment="1">
      <alignment vertical="center"/>
    </xf>
    <xf numFmtId="0" fontId="2" fillId="2" borderId="25" xfId="0" applyFont="1" applyFill="1" applyBorder="1" applyAlignment="1">
      <alignment horizontal="left" vertical="center" indent="1"/>
    </xf>
    <xf numFmtId="0" fontId="2" fillId="2" borderId="26" xfId="0" applyFont="1" applyFill="1" applyBorder="1" applyAlignment="1">
      <alignment horizontal="left" vertical="center" indent="1"/>
    </xf>
    <xf numFmtId="0" fontId="2" fillId="2" borderId="27" xfId="0" applyFont="1" applyFill="1" applyBorder="1" applyAlignment="1">
      <alignment horizontal="left" vertical="center" indent="1"/>
    </xf>
    <xf numFmtId="0" fontId="0" fillId="0" borderId="28" xfId="0" applyBorder="1" applyAlignment="1">
      <alignment horizontal="left" vertical="center" indent="1"/>
    </xf>
    <xf numFmtId="0" fontId="0" fillId="0" borderId="1" xfId="0" applyBorder="1" applyAlignment="1">
      <alignment horizontal="left" vertical="center" indent="1"/>
    </xf>
    <xf numFmtId="0" fontId="2" fillId="2" borderId="12" xfId="0" applyFont="1" applyFill="1" applyBorder="1" applyAlignment="1">
      <alignment vertical="center" wrapText="1"/>
    </xf>
    <xf numFmtId="0" fontId="0" fillId="2" borderId="12" xfId="0" applyFill="1" applyBorder="1" applyAlignment="1">
      <alignment vertical="center" wrapText="1"/>
    </xf>
    <xf numFmtId="0" fontId="2" fillId="2" borderId="13" xfId="0" applyFont="1" applyFill="1" applyBorder="1" applyAlignment="1">
      <alignment vertical="center" wrapText="1"/>
    </xf>
    <xf numFmtId="0" fontId="0" fillId="2" borderId="13" xfId="0" applyFill="1" applyBorder="1" applyAlignment="1">
      <alignment vertical="center" wrapText="1"/>
    </xf>
    <xf numFmtId="0" fontId="2" fillId="2" borderId="21" xfId="0" applyFont="1" applyFill="1" applyBorder="1" applyAlignment="1">
      <alignment horizontal="left" vertical="center" indent="1"/>
    </xf>
    <xf numFmtId="0" fontId="2" fillId="2" borderId="22" xfId="0" applyFont="1" applyFill="1" applyBorder="1" applyAlignment="1">
      <alignment horizontal="left" vertical="center" indent="1"/>
    </xf>
    <xf numFmtId="178" fontId="2" fillId="2" borderId="7" xfId="0" applyNumberFormat="1" applyFont="1" applyFill="1" applyBorder="1" applyAlignment="1">
      <alignment horizontal="left" vertical="center" indent="1"/>
    </xf>
    <xf numFmtId="178" fontId="2" fillId="2" borderId="8" xfId="0" applyNumberFormat="1" applyFont="1" applyFill="1" applyBorder="1" applyAlignment="1">
      <alignment horizontal="left" vertical="center" indent="1"/>
    </xf>
    <xf numFmtId="0" fontId="2" fillId="2" borderId="18" xfId="0" applyFont="1" applyFill="1" applyBorder="1" applyAlignment="1">
      <alignment horizontal="left" vertical="center" indent="1"/>
    </xf>
    <xf numFmtId="0" fontId="2" fillId="2" borderId="15" xfId="0" applyFont="1" applyFill="1" applyBorder="1" applyAlignment="1">
      <alignment horizontal="left" vertical="center" indent="1"/>
    </xf>
    <xf numFmtId="0" fontId="2" fillId="2" borderId="14" xfId="0" applyFont="1" applyFill="1" applyBorder="1" applyAlignment="1">
      <alignment horizontal="left" vertical="center" indent="1"/>
    </xf>
    <xf numFmtId="0" fontId="2" fillId="2" borderId="3" xfId="0" applyFont="1" applyFill="1" applyBorder="1" applyAlignment="1">
      <alignment horizontal="distributed" vertical="center" justifyLastLine="1"/>
    </xf>
    <xf numFmtId="0" fontId="0" fillId="2" borderId="4" xfId="0" applyFill="1" applyBorder="1" applyAlignment="1">
      <alignment horizontal="distributed" vertical="center" justifyLastLine="1"/>
    </xf>
    <xf numFmtId="0" fontId="2" fillId="2" borderId="4" xfId="0" applyFont="1" applyFill="1" applyBorder="1" applyAlignment="1">
      <alignment horizontal="distributed" vertical="center" justifyLastLine="1"/>
    </xf>
    <xf numFmtId="0" fontId="0" fillId="2" borderId="5" xfId="0" applyFill="1" applyBorder="1" applyAlignment="1">
      <alignment horizontal="distributed" vertical="center" justifyLastLine="1"/>
    </xf>
    <xf numFmtId="0" fontId="2" fillId="2" borderId="7" xfId="0" applyFont="1" applyFill="1" applyBorder="1" applyAlignment="1">
      <alignment horizontal="left" vertical="center" wrapText="1" indent="1"/>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19" xfId="0" applyFont="1" applyFill="1" applyBorder="1" applyAlignment="1">
      <alignment vertical="center"/>
    </xf>
    <xf numFmtId="0" fontId="0" fillId="0" borderId="17" xfId="0" applyBorder="1" applyAlignment="1">
      <alignment vertical="center"/>
    </xf>
    <xf numFmtId="0" fontId="13" fillId="5" borderId="0" xfId="0" applyFont="1" applyFill="1" applyAlignment="1">
      <alignment horizontal="distributed" vertical="center" justifyLastLine="1"/>
    </xf>
    <xf numFmtId="0" fontId="0" fillId="0" borderId="0" xfId="0" applyAlignment="1">
      <alignment horizontal="distributed" vertical="center" justifyLastLine="1"/>
    </xf>
    <xf numFmtId="0" fontId="13" fillId="5" borderId="0" xfId="0" applyFont="1" applyFill="1" applyAlignment="1">
      <alignment horizontal="distributed" vertical="center" wrapText="1" justifyLastLine="1"/>
    </xf>
    <xf numFmtId="0" fontId="0" fillId="0" borderId="0" xfId="0" applyAlignment="1">
      <alignment horizontal="distributed" vertical="center" wrapText="1" justifyLastLine="1"/>
    </xf>
  </cellXfs>
  <cellStyles count="2">
    <cellStyle name="パーセント" xfId="1" builtinId="5"/>
    <cellStyle name="標準" xfId="0" builtinId="0"/>
  </cellStyles>
  <dxfs count="45">
    <dxf>
      <numFmt numFmtId="0" formatCode="General"/>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游ゴシック"/>
        <scheme val="minor"/>
      </font>
      <fill>
        <patternFill patternType="solid">
          <fgColor theme="4"/>
          <bgColor theme="4"/>
        </patternFill>
      </fill>
    </dxf>
    <dxf>
      <numFmt numFmtId="0" formatCode="General"/>
    </dxf>
    <dxf>
      <font>
        <b val="0"/>
        <i val="0"/>
        <strike val="0"/>
        <condense val="0"/>
        <extend val="0"/>
        <outline val="0"/>
        <shadow val="0"/>
        <u val="none"/>
        <vertAlign val="baseline"/>
        <sz val="11"/>
        <color theme="1" tint="0.499984740745262"/>
        <name val="游ゴシック"/>
        <scheme val="minor"/>
      </font>
      <numFmt numFmtId="179" formatCode="#,##0_ "/>
    </dxf>
    <dxf>
      <font>
        <b val="0"/>
        <i val="0"/>
        <strike val="0"/>
        <condense val="0"/>
        <extend val="0"/>
        <outline val="0"/>
        <shadow val="0"/>
        <u val="none"/>
        <vertAlign val="baseline"/>
        <sz val="11"/>
        <color theme="1" tint="0.499984740745262"/>
        <name val="游ゴシック"/>
        <scheme val="minor"/>
      </font>
      <numFmt numFmtId="188" formatCode="#,##0.0_ "/>
    </dxf>
    <dxf>
      <font>
        <b val="0"/>
        <i val="0"/>
        <strike val="0"/>
        <condense val="0"/>
        <extend val="0"/>
        <outline val="0"/>
        <shadow val="0"/>
        <u val="none"/>
        <vertAlign val="baseline"/>
        <sz val="11"/>
        <color theme="1" tint="0.499984740745262"/>
        <name val="游ゴシック"/>
        <scheme val="minor"/>
      </font>
      <numFmt numFmtId="179" formatCode="#,##0_ "/>
    </dxf>
    <dxf>
      <font>
        <strike val="0"/>
        <outline val="0"/>
        <shadow val="0"/>
        <u val="none"/>
        <vertAlign val="baseline"/>
        <sz val="11"/>
        <color theme="1" tint="0.499984740745262"/>
        <name val="游ゴシック"/>
        <scheme val="minor"/>
      </font>
      <numFmt numFmtId="179" formatCode="#,##0_ "/>
    </dxf>
    <dxf>
      <font>
        <b val="0"/>
        <i val="0"/>
        <strike val="0"/>
        <condense val="0"/>
        <extend val="0"/>
        <outline val="0"/>
        <shadow val="0"/>
        <u val="none"/>
        <vertAlign val="baseline"/>
        <sz val="11"/>
        <color theme="1" tint="0.499984740745262"/>
        <name val="游ゴシック"/>
        <scheme val="minor"/>
      </font>
      <numFmt numFmtId="185" formatCode="#,##0_);\(#,##0\)"/>
    </dxf>
    <dxf>
      <font>
        <b val="0"/>
        <i val="0"/>
        <strike val="0"/>
        <condense val="0"/>
        <extend val="0"/>
        <outline val="0"/>
        <shadow val="0"/>
        <u val="none"/>
        <vertAlign val="baseline"/>
        <sz val="11"/>
        <color theme="1" tint="0.499984740745262"/>
        <name val="游ゴシック"/>
        <scheme val="minor"/>
      </font>
      <numFmt numFmtId="184" formatCode="0.0%"/>
    </dxf>
    <dxf>
      <numFmt numFmtId="179" formatCode="#,##0_ "/>
    </dxf>
    <dxf>
      <numFmt numFmtId="179" formatCode="#,##0_ "/>
    </dxf>
    <dxf>
      <numFmt numFmtId="179" formatCode="#,##0_ "/>
    </dxf>
    <dxf>
      <numFmt numFmtId="179" formatCode="#,##0_ "/>
    </dxf>
    <dxf>
      <numFmt numFmtId="179" formatCode="#,##0_ "/>
    </dxf>
    <dxf>
      <numFmt numFmtId="179" formatCode="#,##0_ "/>
    </dxf>
    <dxf>
      <numFmt numFmtId="179" formatCode="#,##0_ "/>
    </dxf>
    <dxf>
      <numFmt numFmtId="179" formatCode="#,##0_ "/>
    </dxf>
    <dxf>
      <numFmt numFmtId="179" formatCode="#,##0_ "/>
    </dxf>
    <dxf>
      <numFmt numFmtId="179" formatCode="#,##0_ "/>
    </dxf>
    <dxf>
      <numFmt numFmtId="14" formatCode="0.00%"/>
    </dxf>
    <dxf>
      <numFmt numFmtId="179" formatCode="#,##0_ "/>
    </dxf>
    <dxf>
      <numFmt numFmtId="0" formatCode="General"/>
    </dxf>
    <dxf>
      <numFmt numFmtId="187" formatCode="gee\.mm\.dd\ aaa"/>
      <alignment horizontal="center" vertical="center" textRotation="0" wrapText="0" indent="0" justifyLastLine="0" shrinkToFit="0" readingOrder="0"/>
    </dxf>
    <dxf>
      <numFmt numFmtId="187" formatCode="gee\.mm\.dd\ aaa"/>
      <alignment horizontal="center" vertical="center" textRotation="0" wrapText="0" indent="0" justifyLastLine="0" shrinkToFit="0" readingOrder="0"/>
    </dxf>
    <dxf>
      <alignment horizontal="left" vertical="center" textRotation="0" wrapText="0" indent="0" shrinkToFit="0" readingOrder="0"/>
    </dxf>
    <dxf>
      <numFmt numFmtId="185" formatCode="#,##0_);\(#,##0\)"/>
    </dxf>
    <dxf>
      <font>
        <b val="0"/>
        <i val="0"/>
        <strike val="0"/>
        <condense val="0"/>
        <extend val="0"/>
        <outline val="0"/>
        <shadow val="0"/>
        <u val="none"/>
        <vertAlign val="baseline"/>
        <sz val="11"/>
        <color theme="1" tint="0.499984740745262"/>
        <name val="游ゴシック"/>
        <scheme val="minor"/>
      </font>
      <numFmt numFmtId="185" formatCode="#,##0_);\(#,##0\)"/>
    </dxf>
    <dxf>
      <font>
        <b val="0"/>
        <i val="0"/>
        <strike val="0"/>
        <condense val="0"/>
        <extend val="0"/>
        <outline val="0"/>
        <shadow val="0"/>
        <u val="none"/>
        <vertAlign val="baseline"/>
        <sz val="11"/>
        <color theme="1" tint="0.499984740745262"/>
        <name val="游ゴシック"/>
        <scheme val="minor"/>
      </font>
      <numFmt numFmtId="184" formatCode="0.0%"/>
    </dxf>
    <dxf>
      <font>
        <strike val="0"/>
        <outline val="0"/>
        <shadow val="0"/>
        <u val="none"/>
        <vertAlign val="baseline"/>
        <sz val="11"/>
        <color theme="1" tint="0.499984740745262"/>
        <name val="游ゴシック"/>
        <scheme val="minor"/>
      </font>
      <numFmt numFmtId="184" formatCode="0.0%"/>
    </dxf>
    <dxf>
      <numFmt numFmtId="0" formatCode="General"/>
    </dxf>
    <dxf>
      <numFmt numFmtId="179" formatCode="#,##0_ "/>
    </dxf>
    <dxf>
      <numFmt numFmtId="179" formatCode="#,##0_ "/>
    </dxf>
    <dxf>
      <numFmt numFmtId="179" formatCode="#,##0_ "/>
    </dxf>
    <dxf>
      <numFmt numFmtId="179" formatCode="#,##0_ "/>
    </dxf>
    <dxf>
      <numFmt numFmtId="179" formatCode="#,##0_ "/>
    </dxf>
    <dxf>
      <numFmt numFmtId="179" formatCode="#,##0_ "/>
    </dxf>
    <dxf>
      <numFmt numFmtId="183" formatCode="[$-411]gee\.mm\.dd;@"/>
      <alignment horizontal="center" vertical="center" textRotation="0" wrapText="0" indent="0" justifyLastLine="0" shrinkToFit="0" readingOrder="0"/>
    </dxf>
    <dxf>
      <numFmt numFmtId="183" formatCode="[$-411]gee\.mm\.dd;@"/>
      <alignment horizontal="center" vertical="center" textRotation="0" wrapText="0" indent="0" justifyLastLine="0" shrinkToFit="0" readingOrder="0"/>
    </dxf>
    <dxf>
      <numFmt numFmtId="183" formatCode="[$-411]gee\.mm\.dd;@"/>
      <alignment horizontal="center" vertical="center" textRotation="0" wrapText="0" indent="0" justifyLastLine="0" shrinkToFit="0" readingOrder="0"/>
    </dxf>
    <dxf>
      <numFmt numFmtId="183" formatCode="[$-411]gee\.mm\.dd;@"/>
      <alignment horizontal="center" vertical="center" textRotation="0" wrapText="0" indent="0" justifyLastLine="0" shrinkToFit="0" readingOrder="0"/>
    </dxf>
    <dxf>
      <numFmt numFmtId="186" formatCode="[$-411]gee\.mm\.dd\ aaa;@"/>
      <alignment horizontal="center" vertical="center" textRotation="0" wrapText="0" indent="0" justifyLastLine="0" shrinkToFit="0" readingOrder="0"/>
    </dxf>
    <dxf>
      <numFmt numFmtId="186" formatCode="[$-411]gee\.mm\.dd\ aaa;@"/>
      <alignment horizontal="center" vertical="center" textRotation="0" wrapText="0" indent="0" justifyLastLine="0" shrinkToFit="0" readingOrder="0"/>
    </dxf>
    <dxf>
      <alignment horizontal="left" vertical="center" textRotation="0" wrapText="0" indent="0" justifyLastLine="1" shrinkToFit="0" readingOrder="0"/>
    </dxf>
  </dxfs>
  <tableStyles count="0" defaultTableStyle="TableStyleMedium2" defaultPivotStyle="PivotStyleLight16"/>
  <colors>
    <mruColors>
      <color rgb="FFFFFFCC"/>
      <color rgb="FF000099"/>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1000125</xdr:colOff>
      <xdr:row>7</xdr:row>
      <xdr:rowOff>57150</xdr:rowOff>
    </xdr:from>
    <xdr:to>
      <xdr:col>7</xdr:col>
      <xdr:colOff>177075</xdr:colOff>
      <xdr:row>9</xdr:row>
      <xdr:rowOff>243750</xdr:rowOff>
    </xdr:to>
    <xdr:sp macro="" textlink="">
      <xdr:nvSpPr>
        <xdr:cNvPr id="2" name="テキスト ボックス 1"/>
        <xdr:cNvSpPr txBox="1"/>
      </xdr:nvSpPr>
      <xdr:spPr>
        <a:xfrm>
          <a:off x="5886450" y="1962150"/>
          <a:ext cx="720000" cy="7200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a:solidFill>
                <a:srgbClr val="FF0000"/>
              </a:solidFill>
            </a:rPr>
            <a:t>印</a:t>
          </a:r>
        </a:p>
      </xdr:txBody>
    </xdr:sp>
    <xdr:clientData/>
  </xdr:twoCellAnchor>
  <xdr:twoCellAnchor>
    <xdr:from>
      <xdr:col>1</xdr:col>
      <xdr:colOff>28574</xdr:colOff>
      <xdr:row>33</xdr:row>
      <xdr:rowOff>47625</xdr:rowOff>
    </xdr:from>
    <xdr:to>
      <xdr:col>7</xdr:col>
      <xdr:colOff>200024</xdr:colOff>
      <xdr:row>34</xdr:row>
      <xdr:rowOff>276225</xdr:rowOff>
    </xdr:to>
    <xdr:sp macro="" textlink="">
      <xdr:nvSpPr>
        <xdr:cNvPr id="3" name="テキスト ボックス 2"/>
        <xdr:cNvSpPr txBox="1"/>
      </xdr:nvSpPr>
      <xdr:spPr>
        <a:xfrm>
          <a:off x="714374" y="8772525"/>
          <a:ext cx="591502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latin typeface="+mn-ea"/>
              <a:ea typeface="+mn-ea"/>
            </a:rPr>
            <a:t>備考</a:t>
          </a:r>
          <a:r>
            <a:rPr kumimoji="1" lang="ja-JP" altLang="en-US" sz="900" b="0" baseline="0">
              <a:latin typeface="+mn-ea"/>
              <a:ea typeface="+mn-ea"/>
            </a:rPr>
            <a:t> </a:t>
          </a:r>
          <a:r>
            <a:rPr kumimoji="1" lang="en-US" altLang="ja-JP" sz="900" b="0">
              <a:latin typeface="+mn-ea"/>
              <a:ea typeface="+mn-ea"/>
            </a:rPr>
            <a:t>1</a:t>
          </a:r>
          <a:r>
            <a:rPr kumimoji="1" lang="en-US" altLang="ja-JP" sz="900" b="0" baseline="0">
              <a:latin typeface="+mn-ea"/>
              <a:ea typeface="+mn-ea"/>
            </a:rPr>
            <a:t> </a:t>
          </a:r>
          <a:r>
            <a:rPr kumimoji="1" lang="ja-JP" altLang="en-US" sz="900" baseline="0">
              <a:latin typeface="+mn-ea"/>
              <a:ea typeface="+mn-ea"/>
            </a:rPr>
            <a:t>前払金の請求の際は、インボイスは必要ありません。</a:t>
          </a:r>
          <a:endParaRPr kumimoji="1" lang="en-US" altLang="ja-JP" sz="900" baseline="0">
            <a:latin typeface="+mn-ea"/>
            <a:ea typeface="+mn-ea"/>
          </a:endParaRPr>
        </a:p>
        <a:p>
          <a:r>
            <a:rPr kumimoji="1" lang="ja-JP" altLang="en-US" sz="900" baseline="0">
              <a:latin typeface="+mn-ea"/>
              <a:ea typeface="+mn-ea"/>
            </a:rPr>
            <a:t>　　 </a:t>
          </a:r>
          <a:r>
            <a:rPr kumimoji="1" lang="en-US" altLang="ja-JP" sz="900">
              <a:latin typeface="+mn-ea"/>
              <a:ea typeface="+mn-ea"/>
            </a:rPr>
            <a:t>2 </a:t>
          </a:r>
          <a:r>
            <a:rPr kumimoji="1" lang="ja-JP" altLang="en-US" sz="900">
              <a:latin typeface="+mn-ea"/>
              <a:ea typeface="+mn-ea"/>
            </a:rPr>
            <a:t>振込先には口座名義人のカナを明記してください。</a:t>
          </a:r>
          <a:endParaRPr kumimoji="1" lang="en-US" altLang="ja-JP" sz="900">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1019175</xdr:colOff>
      <xdr:row>7</xdr:row>
      <xdr:rowOff>76200</xdr:rowOff>
    </xdr:from>
    <xdr:to>
      <xdr:col>7</xdr:col>
      <xdr:colOff>196125</xdr:colOff>
      <xdr:row>9</xdr:row>
      <xdr:rowOff>224700</xdr:rowOff>
    </xdr:to>
    <xdr:sp macro="" textlink="">
      <xdr:nvSpPr>
        <xdr:cNvPr id="2" name="テキスト ボックス 1"/>
        <xdr:cNvSpPr txBox="1"/>
      </xdr:nvSpPr>
      <xdr:spPr>
        <a:xfrm>
          <a:off x="5905500" y="2114550"/>
          <a:ext cx="720000" cy="7200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a:solidFill>
                <a:srgbClr val="FF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1019175</xdr:colOff>
      <xdr:row>7</xdr:row>
      <xdr:rowOff>47625</xdr:rowOff>
    </xdr:from>
    <xdr:to>
      <xdr:col>7</xdr:col>
      <xdr:colOff>196125</xdr:colOff>
      <xdr:row>9</xdr:row>
      <xdr:rowOff>234225</xdr:rowOff>
    </xdr:to>
    <xdr:sp macro="" textlink="">
      <xdr:nvSpPr>
        <xdr:cNvPr id="2" name="テキスト ボックス 1"/>
        <xdr:cNvSpPr txBox="1"/>
      </xdr:nvSpPr>
      <xdr:spPr>
        <a:xfrm>
          <a:off x="5905500" y="1952625"/>
          <a:ext cx="720000" cy="7200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a:solidFill>
                <a:srgbClr val="FF0000"/>
              </a:solidFill>
            </a:rPr>
            <a:t>印</a:t>
          </a:r>
        </a:p>
      </xdr:txBody>
    </xdr:sp>
    <xdr:clientData/>
  </xdr:twoCellAnchor>
  <xdr:twoCellAnchor>
    <xdr:from>
      <xdr:col>1</xdr:col>
      <xdr:colOff>28574</xdr:colOff>
      <xdr:row>33</xdr:row>
      <xdr:rowOff>47625</xdr:rowOff>
    </xdr:from>
    <xdr:to>
      <xdr:col>7</xdr:col>
      <xdr:colOff>200024</xdr:colOff>
      <xdr:row>34</xdr:row>
      <xdr:rowOff>276224</xdr:rowOff>
    </xdr:to>
    <xdr:sp macro="" textlink="">
      <xdr:nvSpPr>
        <xdr:cNvPr id="3" name="テキスト ボックス 2"/>
        <xdr:cNvSpPr txBox="1"/>
      </xdr:nvSpPr>
      <xdr:spPr>
        <a:xfrm>
          <a:off x="714374" y="8734425"/>
          <a:ext cx="5915025" cy="4952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備考 </a:t>
          </a:r>
          <a:r>
            <a:rPr kumimoji="1" lang="en-US" altLang="ja-JP" sz="900">
              <a:latin typeface="+mn-ea"/>
              <a:ea typeface="+mn-ea"/>
            </a:rPr>
            <a:t>1</a:t>
          </a:r>
          <a:r>
            <a:rPr kumimoji="1" lang="en-US" altLang="ja-JP" sz="900" baseline="0">
              <a:latin typeface="+mn-ea"/>
              <a:ea typeface="+mn-ea"/>
            </a:rPr>
            <a:t> </a:t>
          </a:r>
          <a:r>
            <a:rPr kumimoji="1" lang="ja-JP" altLang="en-US" sz="900" baseline="0">
              <a:latin typeface="+mn-ea"/>
              <a:ea typeface="+mn-ea"/>
            </a:rPr>
            <a:t>中間前払金の請求の際は、インボイスは必要ありません。</a:t>
          </a:r>
          <a:endParaRPr kumimoji="1" lang="en-US" altLang="ja-JP" sz="900" baseline="0">
            <a:latin typeface="+mn-ea"/>
            <a:ea typeface="+mn-ea"/>
          </a:endParaRPr>
        </a:p>
        <a:p>
          <a:r>
            <a:rPr kumimoji="1" lang="ja-JP" altLang="en-US" sz="900">
              <a:latin typeface="+mn-ea"/>
              <a:ea typeface="+mn-ea"/>
            </a:rPr>
            <a:t>　　 </a:t>
          </a:r>
          <a:r>
            <a:rPr kumimoji="1" lang="en-US" altLang="ja-JP" sz="900">
              <a:latin typeface="+mn-ea"/>
              <a:ea typeface="+mn-ea"/>
            </a:rPr>
            <a:t>2 </a:t>
          </a:r>
          <a:r>
            <a:rPr kumimoji="1" lang="ja-JP" altLang="en-US" sz="900">
              <a:latin typeface="+mn-ea"/>
              <a:ea typeface="+mn-ea"/>
            </a:rPr>
            <a:t>振込先には口座名義人のカナを明記してください。</a:t>
          </a:r>
          <a:endParaRPr kumimoji="1" lang="en-US" altLang="ja-JP"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1019175</xdr:colOff>
      <xdr:row>7</xdr:row>
      <xdr:rowOff>47625</xdr:rowOff>
    </xdr:from>
    <xdr:to>
      <xdr:col>7</xdr:col>
      <xdr:colOff>196125</xdr:colOff>
      <xdr:row>9</xdr:row>
      <xdr:rowOff>234225</xdr:rowOff>
    </xdr:to>
    <xdr:sp macro="" textlink="">
      <xdr:nvSpPr>
        <xdr:cNvPr id="2" name="テキスト ボックス 1"/>
        <xdr:cNvSpPr txBox="1"/>
      </xdr:nvSpPr>
      <xdr:spPr>
        <a:xfrm>
          <a:off x="5905500" y="1952625"/>
          <a:ext cx="720000" cy="7200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a:solidFill>
                <a:srgbClr val="FF0000"/>
              </a:solidFill>
            </a:rPr>
            <a:t>印</a:t>
          </a:r>
        </a:p>
      </xdr:txBody>
    </xdr:sp>
    <xdr:clientData/>
  </xdr:twoCellAnchor>
  <xdr:twoCellAnchor>
    <xdr:from>
      <xdr:col>1</xdr:col>
      <xdr:colOff>47625</xdr:colOff>
      <xdr:row>32</xdr:row>
      <xdr:rowOff>247649</xdr:rowOff>
    </xdr:from>
    <xdr:to>
      <xdr:col>7</xdr:col>
      <xdr:colOff>219075</xdr:colOff>
      <xdr:row>36</xdr:row>
      <xdr:rowOff>247650</xdr:rowOff>
    </xdr:to>
    <xdr:sp macro="" textlink="">
      <xdr:nvSpPr>
        <xdr:cNvPr id="3" name="テキスト ボックス 2"/>
        <xdr:cNvSpPr txBox="1"/>
      </xdr:nvSpPr>
      <xdr:spPr>
        <a:xfrm>
          <a:off x="733425" y="8591549"/>
          <a:ext cx="5915025" cy="1066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備考 </a:t>
          </a:r>
          <a:r>
            <a:rPr kumimoji="1" lang="en-US" altLang="ja-JP" sz="900">
              <a:latin typeface="+mn-ea"/>
              <a:ea typeface="+mn-ea"/>
            </a:rPr>
            <a:t>1</a:t>
          </a:r>
          <a:r>
            <a:rPr kumimoji="1" lang="en-US" altLang="ja-JP" sz="900" baseline="0">
              <a:latin typeface="+mn-ea"/>
              <a:ea typeface="+mn-ea"/>
            </a:rPr>
            <a:t> </a:t>
          </a:r>
          <a:r>
            <a:rPr kumimoji="1" lang="ja-JP" altLang="en-US" sz="900" baseline="0">
              <a:latin typeface="+mn-ea"/>
              <a:ea typeface="+mn-ea"/>
            </a:rPr>
            <a:t>前払金相当額と合算した金額でインボイスを発行してください。</a:t>
          </a:r>
          <a:endParaRPr kumimoji="1" lang="en-US" altLang="ja-JP" sz="900" baseline="0">
            <a:latin typeface="+mn-ea"/>
            <a:ea typeface="+mn-ea"/>
          </a:endParaRPr>
        </a:p>
        <a:p>
          <a:r>
            <a:rPr kumimoji="1" lang="ja-JP" altLang="en-US" sz="900" baseline="0">
              <a:latin typeface="+mn-ea"/>
              <a:ea typeface="+mn-ea"/>
            </a:rPr>
            <a:t>　　 </a:t>
          </a:r>
          <a:r>
            <a:rPr kumimoji="1" lang="en-US" altLang="ja-JP" sz="900" baseline="0">
              <a:latin typeface="+mn-ea"/>
              <a:ea typeface="+mn-ea"/>
            </a:rPr>
            <a:t>2 </a:t>
          </a:r>
          <a:r>
            <a:rPr kumimoji="1" lang="ja-JP" altLang="en-US" sz="900" baseline="0">
              <a:latin typeface="+mn-ea"/>
              <a:ea typeface="+mn-ea"/>
            </a:rPr>
            <a:t>消費税相当額は原則として切上げとしてください。ただし、残請求金額の消費税相当額を切捨てにより</a:t>
          </a:r>
          <a:endParaRPr kumimoji="1" lang="en-US" altLang="ja-JP" sz="900" baseline="0">
            <a:latin typeface="+mn-ea"/>
            <a:ea typeface="+mn-ea"/>
          </a:endParaRPr>
        </a:p>
        <a:p>
          <a:r>
            <a:rPr kumimoji="1" lang="ja-JP" altLang="en-US" sz="900" baseline="0">
              <a:latin typeface="+mn-ea"/>
              <a:ea typeface="+mn-ea"/>
            </a:rPr>
            <a:t>　　　 端数処理した場合に、本契約に係るインボイスの合計金額と契約書に記載された消費税相当額とが一致</a:t>
          </a:r>
          <a:endParaRPr kumimoji="1" lang="en-US" altLang="ja-JP" sz="900" baseline="0">
            <a:latin typeface="+mn-ea"/>
            <a:ea typeface="+mn-ea"/>
          </a:endParaRPr>
        </a:p>
        <a:p>
          <a:r>
            <a:rPr kumimoji="1" lang="ja-JP" altLang="en-US" sz="900" baseline="0">
              <a:latin typeface="+mn-ea"/>
              <a:ea typeface="+mn-ea"/>
            </a:rPr>
            <a:t>　　　 しない場合は切捨てとしてください。</a:t>
          </a:r>
          <a:endParaRPr kumimoji="1" lang="en-US" altLang="ja-JP" sz="900" baseline="0">
            <a:latin typeface="+mn-ea"/>
            <a:ea typeface="+mn-ea"/>
          </a:endParaRPr>
        </a:p>
        <a:p>
          <a:r>
            <a:rPr kumimoji="1" lang="ja-JP" altLang="en-US" sz="900">
              <a:latin typeface="+mn-ea"/>
              <a:ea typeface="+mn-ea"/>
            </a:rPr>
            <a:t>　　</a:t>
          </a:r>
          <a:r>
            <a:rPr kumimoji="1" lang="ja-JP" altLang="en-US" sz="900" baseline="0">
              <a:latin typeface="+mn-ea"/>
              <a:ea typeface="+mn-ea"/>
            </a:rPr>
            <a:t> </a:t>
          </a:r>
          <a:r>
            <a:rPr kumimoji="1" lang="en-US" altLang="ja-JP" sz="900">
              <a:latin typeface="+mn-ea"/>
              <a:ea typeface="+mn-ea"/>
            </a:rPr>
            <a:t>3 </a:t>
          </a:r>
          <a:r>
            <a:rPr kumimoji="1" lang="ja-JP" altLang="en-US" sz="900">
              <a:latin typeface="+mn-ea"/>
              <a:ea typeface="+mn-ea"/>
            </a:rPr>
            <a:t>振込先には口座名義人のカナを明記してください。</a:t>
          </a:r>
          <a:endParaRPr kumimoji="1" lang="en-US" altLang="ja-JP" sz="900">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1019175</xdr:colOff>
      <xdr:row>7</xdr:row>
      <xdr:rowOff>76200</xdr:rowOff>
    </xdr:from>
    <xdr:to>
      <xdr:col>7</xdr:col>
      <xdr:colOff>196125</xdr:colOff>
      <xdr:row>9</xdr:row>
      <xdr:rowOff>224700</xdr:rowOff>
    </xdr:to>
    <xdr:sp macro="" textlink="">
      <xdr:nvSpPr>
        <xdr:cNvPr id="2" name="テキスト ボックス 1"/>
        <xdr:cNvSpPr txBox="1"/>
      </xdr:nvSpPr>
      <xdr:spPr>
        <a:xfrm>
          <a:off x="5905500" y="1981200"/>
          <a:ext cx="720000" cy="681900"/>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a:solidFill>
                <a:srgbClr val="FF0000"/>
              </a:solidFill>
            </a:rPr>
            <a:t>印</a:t>
          </a:r>
        </a:p>
      </xdr:txBody>
    </xdr:sp>
    <xdr:clientData/>
  </xdr:twoCellAnchor>
  <xdr:twoCellAnchor>
    <xdr:from>
      <xdr:col>1</xdr:col>
      <xdr:colOff>38100</xdr:colOff>
      <xdr:row>33</xdr:row>
      <xdr:rowOff>57150</xdr:rowOff>
    </xdr:from>
    <xdr:to>
      <xdr:col>7</xdr:col>
      <xdr:colOff>209550</xdr:colOff>
      <xdr:row>36</xdr:row>
      <xdr:rowOff>114302</xdr:rowOff>
    </xdr:to>
    <xdr:sp macro="" textlink="">
      <xdr:nvSpPr>
        <xdr:cNvPr id="3" name="テキスト ボックス 2"/>
        <xdr:cNvSpPr txBox="1"/>
      </xdr:nvSpPr>
      <xdr:spPr>
        <a:xfrm>
          <a:off x="723900" y="8667750"/>
          <a:ext cx="5915025" cy="857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ea"/>
              <a:ea typeface="+mn-ea"/>
            </a:rPr>
            <a:t>備考 </a:t>
          </a:r>
          <a:r>
            <a:rPr kumimoji="1" lang="en-US" altLang="ja-JP" sz="900">
              <a:latin typeface="+mn-ea"/>
              <a:ea typeface="+mn-ea"/>
            </a:rPr>
            <a:t>1</a:t>
          </a:r>
          <a:r>
            <a:rPr kumimoji="1" lang="en-US" altLang="ja-JP" sz="900" baseline="0">
              <a:latin typeface="+mn-ea"/>
              <a:ea typeface="+mn-ea"/>
            </a:rPr>
            <a:t> </a:t>
          </a:r>
          <a:r>
            <a:rPr kumimoji="1" lang="ja-JP" altLang="en-US" sz="900" baseline="0">
              <a:latin typeface="+mn-ea"/>
              <a:ea typeface="+mn-ea"/>
            </a:rPr>
            <a:t>前払金相当額と合算した金額でインボイスを発行してください。</a:t>
          </a:r>
          <a:endParaRPr kumimoji="1" lang="en-US" altLang="ja-JP" sz="900" baseline="0">
            <a:latin typeface="+mn-ea"/>
            <a:ea typeface="+mn-ea"/>
          </a:endParaRPr>
        </a:p>
        <a:p>
          <a:r>
            <a:rPr kumimoji="1" lang="ja-JP" altLang="en-US" sz="900" baseline="0">
              <a:latin typeface="+mn-ea"/>
              <a:ea typeface="+mn-ea"/>
            </a:rPr>
            <a:t>　　 </a:t>
          </a:r>
          <a:r>
            <a:rPr kumimoji="1" lang="en-US" altLang="ja-JP" sz="900" baseline="0">
              <a:latin typeface="+mn-ea"/>
              <a:ea typeface="+mn-ea"/>
            </a:rPr>
            <a:t>2 </a:t>
          </a:r>
          <a:r>
            <a:rPr kumimoji="1" lang="ja-JP" altLang="en-US" sz="900" baseline="0">
              <a:latin typeface="+mn-ea"/>
              <a:ea typeface="+mn-ea"/>
            </a:rPr>
            <a:t>消費税相当額は原則として切捨てとしてください。ただし、本契約に係るインボイスの合計金額と契約</a:t>
          </a:r>
          <a:endParaRPr kumimoji="1" lang="en-US" altLang="ja-JP" sz="900" baseline="0">
            <a:latin typeface="+mn-ea"/>
            <a:ea typeface="+mn-ea"/>
          </a:endParaRPr>
        </a:p>
        <a:p>
          <a:r>
            <a:rPr kumimoji="1" lang="ja-JP" altLang="en-US" sz="900" baseline="0">
              <a:latin typeface="+mn-ea"/>
              <a:ea typeface="+mn-ea"/>
            </a:rPr>
            <a:t>　　　 書に記載された消費税相当額とが一致しない場合は切上げとしてください。</a:t>
          </a:r>
          <a:endParaRPr kumimoji="1" lang="en-US" altLang="ja-JP" sz="900" baseline="0">
            <a:latin typeface="+mn-ea"/>
            <a:ea typeface="+mn-ea"/>
          </a:endParaRPr>
        </a:p>
        <a:p>
          <a:r>
            <a:rPr kumimoji="1" lang="ja-JP" altLang="en-US" sz="900">
              <a:latin typeface="+mn-ea"/>
              <a:ea typeface="+mn-ea"/>
            </a:rPr>
            <a:t>　　 </a:t>
          </a:r>
          <a:r>
            <a:rPr kumimoji="1" lang="en-US" altLang="ja-JP" sz="900">
              <a:latin typeface="+mn-ea"/>
              <a:ea typeface="+mn-ea"/>
            </a:rPr>
            <a:t>3 </a:t>
          </a:r>
          <a:r>
            <a:rPr kumimoji="1" lang="ja-JP" altLang="en-US" sz="900">
              <a:latin typeface="+mn-ea"/>
              <a:ea typeface="+mn-ea"/>
            </a:rPr>
            <a:t>振込先には口座名義人のカナを明記してください。</a:t>
          </a:r>
          <a:endParaRPr kumimoji="1" lang="en-US" altLang="ja-JP" sz="90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161925</xdr:colOff>
      <xdr:row>20</xdr:row>
      <xdr:rowOff>47625</xdr:rowOff>
    </xdr:from>
    <xdr:to>
      <xdr:col>6</xdr:col>
      <xdr:colOff>1095375</xdr:colOff>
      <xdr:row>20</xdr:row>
      <xdr:rowOff>381000</xdr:rowOff>
    </xdr:to>
    <xdr:sp macro="" textlink="">
      <xdr:nvSpPr>
        <xdr:cNvPr id="2" name="大かっこ 1"/>
        <xdr:cNvSpPr/>
      </xdr:nvSpPr>
      <xdr:spPr>
        <a:xfrm>
          <a:off x="847725" y="2295525"/>
          <a:ext cx="933450" cy="333375"/>
        </a:xfrm>
        <a:prstGeom prst="bracketPair">
          <a:avLst>
            <a:gd name="adj" fmla="val 1126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161925</xdr:colOff>
      <xdr:row>9</xdr:row>
      <xdr:rowOff>47625</xdr:rowOff>
    </xdr:from>
    <xdr:to>
      <xdr:col>4</xdr:col>
      <xdr:colOff>76200</xdr:colOff>
      <xdr:row>20</xdr:row>
      <xdr:rowOff>38100</xdr:rowOff>
    </xdr:to>
    <xdr:sp macro="" textlink="">
      <xdr:nvSpPr>
        <xdr:cNvPr id="2" name="テキスト ボックス 1"/>
        <xdr:cNvSpPr txBox="1"/>
      </xdr:nvSpPr>
      <xdr:spPr>
        <a:xfrm>
          <a:off x="161925" y="2190750"/>
          <a:ext cx="3457575" cy="26098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凡例：</a:t>
          </a:r>
          <a:endParaRPr kumimoji="1" lang="en-US" altLang="ja-JP" sz="1100" b="1"/>
        </a:p>
        <a:p>
          <a:r>
            <a:rPr kumimoji="1" lang="ja-JP" altLang="en-US" sz="1100" b="1"/>
            <a:t> </a:t>
          </a:r>
          <a:r>
            <a:rPr kumimoji="1" lang="en-US" altLang="ja-JP" sz="1100" b="1"/>
            <a:t>1 </a:t>
          </a:r>
          <a:r>
            <a:rPr kumimoji="1" lang="ja-JP" altLang="en-US" sz="1100" b="1"/>
            <a:t>文字</a:t>
          </a:r>
          <a:endParaRPr kumimoji="1" lang="en-US" altLang="ja-JP" sz="1100" b="1"/>
        </a:p>
        <a:p>
          <a:r>
            <a:rPr kumimoji="1" lang="ja-JP" altLang="en-US" sz="1100"/>
            <a:t>  入力：文字を入力してください。</a:t>
          </a:r>
          <a:endParaRPr kumimoji="1" lang="en-US" altLang="ja-JP" sz="1100"/>
        </a:p>
        <a:p>
          <a:r>
            <a:rPr kumimoji="1" lang="en-US" altLang="ja-JP" sz="1100" baseline="0"/>
            <a:t>  </a:t>
          </a:r>
          <a:r>
            <a:rPr kumimoji="1" lang="ja-JP" altLang="en-US" sz="1100" baseline="0"/>
            <a:t>選択：リストから選択してください。</a:t>
          </a:r>
          <a:endParaRPr kumimoji="1" lang="en-US" altLang="ja-JP" sz="1100" baseline="0"/>
        </a:p>
        <a:p>
          <a:r>
            <a:rPr kumimoji="1" lang="en-US" altLang="ja-JP" sz="1100" baseline="0"/>
            <a:t>  </a:t>
          </a:r>
          <a:r>
            <a:rPr kumimoji="1" lang="ja-JP" altLang="en-US" sz="1100" baseline="0"/>
            <a:t>計算：入力禁止。計算式が入っています。</a:t>
          </a:r>
          <a:endParaRPr kumimoji="1" lang="en-US" altLang="ja-JP" sz="1100"/>
        </a:p>
        <a:p>
          <a:r>
            <a:rPr kumimoji="1" lang="ja-JP" altLang="en-US" sz="1100" b="1"/>
            <a:t> </a:t>
          </a:r>
          <a:r>
            <a:rPr kumimoji="1" lang="en-US" altLang="ja-JP" sz="1100" b="1"/>
            <a:t>2 </a:t>
          </a:r>
          <a:r>
            <a:rPr kumimoji="1" lang="ja-JP" altLang="en-US" sz="1100" b="1"/>
            <a:t>色</a:t>
          </a:r>
          <a:endParaRPr kumimoji="1" lang="en-US" altLang="ja-JP" sz="1100" b="1"/>
        </a:p>
        <a:p>
          <a:r>
            <a:rPr kumimoji="1" lang="ja-JP" altLang="en-US" sz="1100"/>
            <a:t>  </a:t>
          </a:r>
          <a:r>
            <a:rPr kumimoji="1" lang="ja-JP" altLang="en-US" sz="1100" b="1">
              <a:solidFill>
                <a:srgbClr val="FF0000"/>
              </a:solidFill>
            </a:rPr>
            <a:t>赤</a:t>
          </a:r>
          <a:r>
            <a:rPr kumimoji="1" lang="ja-JP" altLang="en-US" sz="1100"/>
            <a:t>：必須入力</a:t>
          </a:r>
          <a:endParaRPr kumimoji="1" lang="en-US" altLang="ja-JP" sz="1100"/>
        </a:p>
        <a:p>
          <a:r>
            <a:rPr kumimoji="1" lang="ja-JP" altLang="en-US" sz="1100" baseline="0"/>
            <a:t>  </a:t>
          </a:r>
          <a:r>
            <a:rPr kumimoji="1" lang="ja-JP" altLang="en-US" sz="1100" b="1" baseline="0">
              <a:solidFill>
                <a:srgbClr val="FF9900"/>
              </a:solidFill>
            </a:rPr>
            <a:t>橙</a:t>
          </a:r>
          <a:r>
            <a:rPr kumimoji="1" lang="ja-JP" altLang="en-US" sz="1100" baseline="0"/>
            <a:t>：計算の補正用で必要に応じて入力</a:t>
          </a:r>
          <a:endParaRPr kumimoji="1" lang="en-US" altLang="ja-JP" sz="1100" baseline="0"/>
        </a:p>
        <a:p>
          <a:r>
            <a:rPr kumimoji="1" lang="ja-JP" altLang="en-US" sz="1100" baseline="0"/>
            <a:t>  </a:t>
          </a:r>
          <a:r>
            <a:rPr kumimoji="1" lang="ja-JP" altLang="en-US" sz="1100" b="1" i="0" baseline="0">
              <a:solidFill>
                <a:srgbClr val="000099"/>
              </a:solidFill>
            </a:rPr>
            <a:t>青</a:t>
          </a:r>
          <a:r>
            <a:rPr kumimoji="1" lang="ja-JP" altLang="en-US" sz="1100" baseline="0"/>
            <a:t>：メモとして入力</a:t>
          </a:r>
          <a:endParaRPr kumimoji="1" lang="en-US" altLang="ja-JP" sz="1100" baseline="0"/>
        </a:p>
        <a:p>
          <a:r>
            <a:rPr kumimoji="1" lang="ja-JP" altLang="en-US" sz="1100" baseline="0"/>
            <a:t>  </a:t>
          </a:r>
          <a:r>
            <a:rPr kumimoji="1" lang="ja-JP" altLang="en-US" sz="1100" baseline="0">
              <a:solidFill>
                <a:schemeClr val="tx1">
                  <a:lumMod val="50000"/>
                  <a:lumOff val="50000"/>
                </a:schemeClr>
              </a:solidFill>
            </a:rPr>
            <a:t>灰</a:t>
          </a:r>
          <a:r>
            <a:rPr kumimoji="1" lang="ja-JP" altLang="en-US" sz="1100" baseline="0"/>
            <a:t>：入力禁止</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1447800</xdr:colOff>
      <xdr:row>8</xdr:row>
      <xdr:rowOff>28575</xdr:rowOff>
    </xdr:from>
    <xdr:to>
      <xdr:col>7</xdr:col>
      <xdr:colOff>120750</xdr:colOff>
      <xdr:row>8</xdr:row>
      <xdr:rowOff>244575</xdr:rowOff>
    </xdr:to>
    <xdr:sp macro="" textlink="">
      <xdr:nvSpPr>
        <xdr:cNvPr id="4" name="テキスト ボックス 3"/>
        <xdr:cNvSpPr txBox="1"/>
      </xdr:nvSpPr>
      <xdr:spPr>
        <a:xfrm>
          <a:off x="6334125" y="2200275"/>
          <a:ext cx="216000" cy="216000"/>
        </a:xfrm>
        <a:prstGeom prst="rect">
          <a:avLst/>
        </a:prstGeom>
        <a:noFill/>
        <a:ln w="1270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a:solidFill>
                <a:schemeClr val="tx1"/>
              </a:solidFill>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1428750</xdr:colOff>
      <xdr:row>8</xdr:row>
      <xdr:rowOff>28575</xdr:rowOff>
    </xdr:from>
    <xdr:to>
      <xdr:col>7</xdr:col>
      <xdr:colOff>101700</xdr:colOff>
      <xdr:row>8</xdr:row>
      <xdr:rowOff>244575</xdr:rowOff>
    </xdr:to>
    <xdr:sp macro="" textlink="">
      <xdr:nvSpPr>
        <xdr:cNvPr id="2" name="テキスト ボックス 1"/>
        <xdr:cNvSpPr txBox="1"/>
      </xdr:nvSpPr>
      <xdr:spPr>
        <a:xfrm>
          <a:off x="6315075" y="2200275"/>
          <a:ext cx="216000" cy="216000"/>
        </a:xfrm>
        <a:prstGeom prst="rect">
          <a:avLst/>
        </a:prstGeom>
        <a:noFill/>
        <a:ln w="1270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a:solidFill>
                <a:schemeClr val="tx1"/>
              </a:solidFill>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1438275</xdr:colOff>
      <xdr:row>8</xdr:row>
      <xdr:rowOff>19050</xdr:rowOff>
    </xdr:from>
    <xdr:to>
      <xdr:col>7</xdr:col>
      <xdr:colOff>111225</xdr:colOff>
      <xdr:row>8</xdr:row>
      <xdr:rowOff>235050</xdr:rowOff>
    </xdr:to>
    <xdr:sp macro="" textlink="">
      <xdr:nvSpPr>
        <xdr:cNvPr id="3" name="テキスト ボックス 2"/>
        <xdr:cNvSpPr txBox="1"/>
      </xdr:nvSpPr>
      <xdr:spPr>
        <a:xfrm>
          <a:off x="6324600" y="2190750"/>
          <a:ext cx="216000" cy="216000"/>
        </a:xfrm>
        <a:prstGeom prst="rect">
          <a:avLst/>
        </a:prstGeom>
        <a:noFill/>
        <a:ln w="1270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a:solidFill>
                <a:schemeClr val="tx1"/>
              </a:solidFill>
            </a:rPr>
            <a:t>印</a:t>
          </a:r>
        </a:p>
      </xdr:txBody>
    </xdr:sp>
    <xdr:clientData/>
  </xdr:twoCellAnchor>
</xdr:wsDr>
</file>

<file path=xl/tables/table1.xml><?xml version="1.0" encoding="utf-8"?>
<table xmlns="http://schemas.openxmlformats.org/spreadsheetml/2006/main" id="1" name="TB_契約情報" displayName="TB_契約情報" ref="A5:K9" totalsRowCount="1" headerRowDxfId="44">
  <autoFilter ref="A5:K8"/>
  <tableColumns count="11">
    <tableColumn id="1" name="契約年月日" dataDxfId="43" totalsRowDxfId="42"/>
    <tableColumn id="9" name="工期_着手" dataDxfId="41" totalsRowDxfId="40"/>
    <tableColumn id="10" name="工期_完了" dataDxfId="39" totalsRowDxfId="38"/>
    <tableColumn id="2" name="契約金額" totalsRowFunction="sum" dataDxfId="37" totalsRowDxfId="36">
      <calculatedColumnFormula>1.1*111100000</calculatedColumnFormula>
    </tableColumn>
    <tableColumn id="3" name="税率"/>
    <tableColumn id="8" name="端数処理方法"/>
    <tableColumn id="7" name="税_手入力" dataDxfId="35" totalsRowDxfId="34">
      <calculatedColumnFormula>+LEN(TB_契約情報[[#This Row],[税_手入力]])</calculatedColumnFormula>
    </tableColumn>
    <tableColumn id="6" name="消費税相当額" totalsRowFunction="sum" dataDxfId="33" totalsRowDxfId="32">
      <calculatedColumnFormula>+IF(LEN(TB_契約情報[[#This Row],[税_手入力]])&gt;0, TB_契約情報[[#This Row],[税_手入力]], INT(TB_契約情報[[#This Row],[契約金額]]*TB_契約情報[[#This Row],[適用税率]]/(1+TB_契約情報[[#This Row],[適用税率]]))+IF((TB_契約情報[[#This Row],[端数処理方法]]="01 切上げ")*(TB_契約情報[[#This Row],[税端数]]=FALSE), 1, 0))</calculatedColumnFormula>
    </tableColumn>
    <tableColumn id="4" name="摘要" dataDxfId="31">
      <calculatedColumnFormula>+LEN(TB_契約情報[[#This Row],[税_手入力]])</calculatedColumnFormula>
    </tableColumn>
    <tableColumn id="11" name="適用税率" totalsRowFunction="custom" dataDxfId="30" totalsRowDxfId="29" dataCellStyle="パーセント">
      <calculatedColumnFormula>+IF(LEN(TB_契約情報[[#This Row],[税率]])&gt;0, TB_契約情報[[#This Row],[税率]], $E$1)</calculatedColumnFormula>
      <totalsRowFormula>+E1</totalsRowFormula>
    </tableColumn>
    <tableColumn id="12" name="税端数" dataDxfId="28" totalsRowDxfId="27" dataCellStyle="パーセント">
      <calculatedColumnFormula>+IFERROR(MOD(TB_契約情報[[#This Row],[契約金額]]*TB_契約情報[[#This Row],[適用税率]]/(1+TB_契約情報[[#This Row],[適用税率]]), INT(TB_契約情報[[#This Row],[契約金額]]*TB_契約情報[[#This Row],[適用税率]]/(1+TB_契約情報[[#This Row],[適用税率]])))=0, TRUE)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2" name="TB_支払情報" displayName="TB_支払情報" ref="M5:AK9" totalsRowShown="0" headerRowDxfId="26">
  <autoFilter ref="M5:AK9"/>
  <tableColumns count="25">
    <tableColumn id="1" name="請求年月日" dataDxfId="25"/>
    <tableColumn id="27" name="検査等年月日" dataDxfId="24"/>
    <tableColumn id="2" name="請求区分"/>
    <tableColumn id="14" name="回数" dataDxfId="23">
      <calculatedColumnFormula>+COUNTIF(OFFSET(TB_支払情報[[#Headers],[請求区分]], 1, 0):TB_支払情報[[#This Row],[請求区分]], TB_支払情報[[#This Row],[請求区分]])</calculatedColumnFormula>
    </tableColumn>
    <tableColumn id="20" name="時点契約金額" dataDxfId="22">
      <calculatedColumnFormula>+SUMIFS(TB_契約情報[契約金額], TB_契約情報[契約年月日], "&lt;="&amp;TB_支払情報[[#This Row],[請求年月日]])</calculatedColumnFormula>
    </tableColumn>
    <tableColumn id="22" name="出来高" dataDxfId="21" dataCellStyle="パーセント"/>
    <tableColumn id="19" name="請求対象金額_入力"/>
    <tableColumn id="3" name="請求対象金額" dataDxfId="20">
      <calculatedColumnFormula>+IF(LEN(TB_支払情報[[#This Row],[請求対象金額_入力]])&gt;0, TB_支払情報[[#This Row],[請求対象金額_入力]], ROUNDDOWN(TB_支払情報[[#This Row],[時点契約金額]]*IF(TB_支払情報[[#This Row],[請求区分CD]]=$AS$8, TB_支払情報[[#This Row],[出来高]], 1)*TB_支払情報[[#This Row],[率]]-TB_支払情報[[#This Row],[控除額]], IF(TB_支払情報[[#This Row],[請求区分CD]]=$AS$9, -2, -5)))</calculatedColumnFormula>
    </tableColumn>
    <tableColumn id="7" name="税率"/>
    <tableColumn id="8" name="端数処理方法"/>
    <tableColumn id="9" name="税_手入力" dataDxfId="19"/>
    <tableColumn id="4" name="消費税相当額" dataDxfId="18">
      <calculatedColumnFormula>+IF(LEN(TB_支払情報[[#This Row],[税_手入力]])&gt;0, TB_支払情報[[#This Row],[税_手入力]],INT(TB_支払情報[[#This Row],[請求対象金額]]*TB_支払情報[[#This Row],[適用税率]]/(1+TB_支払情報[[#This Row],[適用税率]]))+IF((TB_支払情報[[#This Row],[端数処理]]=$AO$6)*(TB_支払情報[[#This Row],[税端数]]=FALSE), 1, 0))</calculatedColumnFormula>
    </tableColumn>
    <tableColumn id="26" name="前払金充当額_入力" dataDxfId="17"/>
    <tableColumn id="5" name="前払金充当額" dataDxfId="16">
      <calculatedColumnFormula>+IF(LEN(TB_支払情報[[#This Row],[前払金充当額_入力]])&gt;0, TB_支払情報[[#This Row],[前払金充当額_入力]], IF(TB_支払情報[[#This Row],[請求区分CD]]=$AS$8, ROUNDDOWN(SUMIFS(TB_支払情報[請求対象金額], TB_支払情報[請求区分CD], "&lt;="&amp;$AS$7)/TB_支払情報[[#This Row],[時点契約金額]]*(TB_支払情報[[#This Row],[時点契約金額]]*TB_支払情報[[#This Row],[出来高]]), -5), IF(TB_支払情報[[#This Row],[請求区分CD]]=$AS$9, SUMIFS(TB_支払情報[請求対象金額], TB_支払情報[請求区分CD], "&lt;="&amp;$AS$7)-SUM(OFFSET(TB_支払情報[[#Headers],[前払金充当額]], 1, 0):OFFSET(TB_支払情報[[#This Row],[前払金充当額]], -1, 0)), 0)))</calculatedColumnFormula>
    </tableColumn>
    <tableColumn id="10" name="請求金額" dataDxfId="15">
      <calculatedColumnFormula>+TB_支払情報[[#This Row],[請求対象金額]]-TB_支払情報[[#This Row],[前払金充当額]]</calculatedColumnFormula>
    </tableColumn>
    <tableColumn id="13" name="残請求金額" dataDxfId="14">
      <calculatedColumnFormula>+TB_契約情報[[#Totals],[契約金額]]-SUMIFS(OFFSET(TB_支払情報[[#Headers],[請求金額]], 1, 0):TB_支払情報[[#This Row],[請求金額]], OFFSET(TB_支払情報[[#Headers],[請求区分CD]], 1, 0):TB_支払情報[[#This Row],[請求区分CD]], "&gt;="&amp;$AS$8)-SUM(OFFSET(TB_支払情報[[#Headers],[前払金充当額]], 1, 0):TB_支払情報[[#This Row],[前払金充当額]])</calculatedColumnFormula>
    </tableColumn>
    <tableColumn id="12" name="うち消費税" dataDxfId="13">
      <calculatedColumnFormula>+TB_契約情報[[#Totals],[消費税相当額]]-SUM(OFFSET(TB_支払情報[[#Headers],[消費税相当額]], 1, 0):TB_支払情報[[#This Row],[消費税相当額]])</calculatedColumnFormula>
    </tableColumn>
    <tableColumn id="11" name="端数chk" dataDxfId="12">
      <calculatedColumnFormula>+IF(ABS(((TB_支払情報[[#This Row],[残請求金額]]-TB_支払情報[[#This Row],[うち消費税]])*TB_契約情報[[#Totals],[適用税率]])-TB_支払情報[[#This Row],[うち消費税]])&lt;1, "CLEAR!!", "#ERROR#")</calculatedColumnFormula>
    </tableColumn>
    <tableColumn id="6" name="摘要" dataDxfId="11"/>
    <tableColumn id="15" name="適用税率" dataDxfId="10" dataCellStyle="パーセント">
      <calculatedColumnFormula>+IFERROR(IF(INDEX(TB_請求区分[], MATCH(TB_支払情報[[#This Row],[請求区分]], TB_請求区分[List], 0), COLUMN(TB_請求区分[[#Headers],[Val2]])-COLUMN(TB_請求区分[[#Headers],[Code]])+1)=FALSE, 0, IF(LEN(TB_支払情報[[#This Row],[税率]])&gt;0, TB_支払情報[[#This Row],[税率]], $E$1)), 0)</calculatedColumnFormula>
    </tableColumn>
    <tableColumn id="16" name="税端数" dataDxfId="9" dataCellStyle="パーセント">
      <calculatedColumnFormula>+IFERROR(MOD(TB_支払情報[[#This Row],[請求対象金額]]*TB_支払情報[[#This Row],[適用税率]]/(1+TB_支払情報[[#This Row],[適用税率]]), INT(TB_支払情報[[#This Row],[請求対象金額]]*TB_支払情報[[#This Row],[適用税率]]/(1+TB_支払情報[[#This Row],[適用税率]])))=0, TRUE)</calculatedColumnFormula>
    </tableColumn>
    <tableColumn id="17" name="端数処理" dataDxfId="8">
      <calculatedColumnFormula>+IFERROR(IF(LEN(TB_支払情報[[#This Row],[端数処理方法]])&gt;0, TB_支払情報[[#This Row],[端数処理方法]], INDEX(TB_請求区分[], MATCH(TB_支払情報[[#This Row],[請求区分]], TB_請求区分[List], 0), MATCH(TB_請求区分[[#Headers],[Val1]], TB_請求区分[#Headers], 0))), 0)</calculatedColumnFormula>
    </tableColumn>
    <tableColumn id="18" name="請求区分CD" dataDxfId="7" dataCellStyle="パーセント">
      <calculatedColumnFormula>+VALUE(LEFT(TB_支払情報[[#This Row],[請求区分]], 2))</calculatedColumnFormula>
    </tableColumn>
    <tableColumn id="23" name="率" dataDxfId="6" dataCellStyle="パーセント">
      <calculatedColumnFormula>+INDEX(TB_請求区分[], MATCH(TB_支払情報[[#This Row],[請求区分CD]], TB_請求区分[Code], 0), MATCH(TB_請求区分[[#Headers],[Val3]], TB_請求区分[#Headers], 0))</calculatedColumnFormula>
    </tableColumn>
    <tableColumn id="24" name="控除額" dataDxfId="5" dataCellStyle="パーセント">
      <calculatedColumnFormula>+IF(TB_支払情報[[#This Row],[請求区分CD]]=$AS$7, SUMIFS(TB_支払情報[請求対象金額], TB_支払情報[請求区分CD], 1), IF(TB_支払情報[[#This Row],[請求区分CD]]=$AS$9, SUMIFS(TB_支払情報[請求対象金額], TB_支払情報[請求区分CD], 3), 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id="3" name="TB_端数処理" displayName="TB_端数処理" ref="AM5:AQ7" totalsRowShown="0">
  <autoFilter ref="AM5:AQ7"/>
  <tableColumns count="5">
    <tableColumn id="1" name="Code"/>
    <tableColumn id="2" name="Str"/>
    <tableColumn id="3" name="List" dataDxfId="4">
      <calculatedColumnFormula>+CONCATENATE(TEXT(TB_端数処理[[#This Row],[Code]], "00 " ), TB_端数処理[[#This Row],[Str]])</calculatedColumnFormula>
    </tableColumn>
    <tableColumn id="4" name="Val1"/>
    <tableColumn id="5" name="Note"/>
  </tableColumns>
  <tableStyleInfo name="TableStyleMedium2" showFirstColumn="0" showLastColumn="0" showRowStripes="1" showColumnStripes="0"/>
</table>
</file>

<file path=xl/tables/table4.xml><?xml version="1.0" encoding="utf-8"?>
<table xmlns="http://schemas.openxmlformats.org/spreadsheetml/2006/main" id="4" name="TB_請求区分" displayName="TB_請求区分" ref="AS5:AY9" totalsRowShown="0" headerRowDxfId="3" headerRowBorderDxfId="2" tableBorderDxfId="1">
  <autoFilter ref="AS5:AY9"/>
  <tableColumns count="7">
    <tableColumn id="1" name="Code"/>
    <tableColumn id="2" name="Str"/>
    <tableColumn id="3" name="List" dataDxfId="0">
      <calculatedColumnFormula>+CONCATENATE(TEXT(TB_請求区分[[#This Row],[Code]], "00 " ), TB_請求区分[[#This Row],[Str]])</calculatedColumnFormula>
    </tableColumn>
    <tableColumn id="4" name="Val1"/>
    <tableColumn id="6" name="Val2"/>
    <tableColumn id="7" name="Val3"/>
    <tableColumn id="5" name="Note"/>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L34"/>
  <sheetViews>
    <sheetView zoomScaleNormal="100" workbookViewId="0"/>
  </sheetViews>
  <sheetFormatPr defaultRowHeight="24" customHeight="1"/>
  <cols>
    <col min="1" max="1" width="9" style="1"/>
    <col min="2" max="2" width="3.125" style="1" customWidth="1"/>
    <col min="3" max="3" width="23.625" style="1" customWidth="1"/>
    <col min="4" max="4" width="3.125" style="1" customWidth="1"/>
    <col min="5" max="6" width="12.625" style="1" customWidth="1"/>
    <col min="7" max="7" width="20.25" style="1" customWidth="1"/>
    <col min="8" max="9" width="3.125" style="1" customWidth="1"/>
    <col min="10" max="10" width="18.375" style="1" bestFit="1" customWidth="1"/>
    <col min="11" max="12" width="14.625" style="1" customWidth="1"/>
    <col min="13" max="16384" width="9" style="1"/>
  </cols>
  <sheetData>
    <row r="2" spans="2:11" ht="21" customHeight="1">
      <c r="B2" s="1" t="s">
        <v>14</v>
      </c>
    </row>
    <row r="3" spans="2:11" ht="21" customHeight="1"/>
    <row r="4" spans="2:11" ht="21" customHeight="1">
      <c r="B4" s="132" t="s">
        <v>121</v>
      </c>
      <c r="C4" s="132"/>
      <c r="D4" s="132"/>
      <c r="E4" s="132"/>
      <c r="F4" s="132"/>
      <c r="G4" s="132"/>
      <c r="H4" s="53"/>
    </row>
    <row r="5" spans="2:11" ht="21" customHeight="1"/>
    <row r="6" spans="2:11" ht="21" customHeight="1">
      <c r="G6" s="133" t="str">
        <f>+CONCATENATE(TEXT(K6, "ggg"), TEXT(K6, CONCATENATE(IF(LEN(TEXT(K6, "e"))=1, CHAR(32), ""), "e年")), TEXT(K6, CONCATENATE(IF(LEN(TEXT(K6, "m"))=1, CHAR(32), ""), "m月")), TEXT(K6, CONCATENATE(IF(LEN(TEXT(K6, "d"))=1, CHAR(32), ""), "d日")))</f>
        <v>令和 5年 5月 1日</v>
      </c>
      <c r="H6" s="134"/>
      <c r="J6" s="32" t="s">
        <v>54</v>
      </c>
      <c r="K6" s="35">
        <v>45047</v>
      </c>
    </row>
    <row r="7" spans="2:11" ht="21" customHeight="1">
      <c r="F7" s="54"/>
      <c r="G7" s="55"/>
      <c r="H7" s="55"/>
      <c r="J7" s="32"/>
      <c r="K7" s="35"/>
    </row>
    <row r="8" spans="2:11" ht="21" customHeight="1">
      <c r="F8" s="47" t="s">
        <v>63</v>
      </c>
      <c r="G8" s="42"/>
      <c r="H8" s="42"/>
      <c r="J8" s="32"/>
      <c r="K8" s="35"/>
    </row>
    <row r="9" spans="2:11" ht="21" customHeight="1">
      <c r="F9" s="47" t="s">
        <v>62</v>
      </c>
      <c r="G9" s="42"/>
      <c r="H9" s="42"/>
      <c r="J9" s="32"/>
      <c r="K9" s="35"/>
    </row>
    <row r="10" spans="2:11" ht="21" customHeight="1">
      <c r="F10" s="47"/>
      <c r="G10" s="42"/>
      <c r="H10" s="42"/>
      <c r="J10" s="32"/>
      <c r="K10" s="35"/>
    </row>
    <row r="11" spans="2:11" ht="21" customHeight="1">
      <c r="F11" s="47"/>
      <c r="G11" s="42"/>
      <c r="H11" s="42"/>
      <c r="J11" s="32"/>
      <c r="K11" s="35"/>
    </row>
    <row r="12" spans="2:11" ht="21" customHeight="1"/>
    <row r="13" spans="2:11" ht="21" customHeight="1">
      <c r="B13" s="2" t="s">
        <v>0</v>
      </c>
      <c r="J13" s="1" t="s">
        <v>61</v>
      </c>
    </row>
    <row r="14" spans="2:11" ht="21" customHeight="1">
      <c r="B14" s="2" t="s">
        <v>31</v>
      </c>
    </row>
    <row r="15" spans="2:11" ht="21" customHeight="1"/>
    <row r="16" spans="2:11" ht="21" customHeight="1">
      <c r="C16" s="22" t="s">
        <v>1</v>
      </c>
      <c r="E16" s="135">
        <f>+E25</f>
        <v>40000000</v>
      </c>
      <c r="F16" s="135"/>
      <c r="G16" s="135"/>
      <c r="H16" s="48"/>
    </row>
    <row r="17" spans="2:12" ht="21" customHeight="1"/>
    <row r="18" spans="2:12" ht="21" customHeight="1">
      <c r="B18" s="2" t="s">
        <v>2</v>
      </c>
    </row>
    <row r="19" spans="2:12" ht="21" customHeight="1"/>
    <row r="20" spans="2:12" ht="21" customHeight="1">
      <c r="B20" s="46">
        <v>1</v>
      </c>
      <c r="C20" s="3" t="s">
        <v>3</v>
      </c>
      <c r="D20" s="3"/>
      <c r="E20" s="136" t="str">
        <f>+K20</f>
        <v>〇〇工事R5-1</v>
      </c>
      <c r="F20" s="137"/>
      <c r="G20" s="137"/>
      <c r="H20" s="56"/>
      <c r="J20" s="37" t="s">
        <v>3</v>
      </c>
      <c r="K20" s="36" t="s">
        <v>60</v>
      </c>
    </row>
    <row r="21" spans="2:12" ht="21" customHeight="1">
      <c r="B21" s="46">
        <v>2</v>
      </c>
      <c r="C21" s="3" t="s">
        <v>4</v>
      </c>
      <c r="D21" s="3"/>
      <c r="E21" s="138" t="str">
        <f>+CONCATENATE(TEXT(K21, "ggg"), TEXT(K21, CONCATENATE(IF(LEN(TEXT(K21, "e"))=1, CHAR(32), ""), "e年")), TEXT(K21, CONCATENATE(IF(LEN(TEXT(K21, "m"))=1, CHAR(32), ""), "m月")), TEXT(K21, CONCATENATE(IF(LEN(TEXT(K21, "d"))=1, CHAR(32), ""), "d日")))</f>
        <v>令和 5年 4月 1日</v>
      </c>
      <c r="F21" s="138"/>
      <c r="G21" s="138"/>
      <c r="H21" s="52"/>
      <c r="J21" s="37" t="s">
        <v>4</v>
      </c>
      <c r="K21" s="35">
        <v>45017</v>
      </c>
    </row>
    <row r="22" spans="2:12" ht="21" customHeight="1">
      <c r="B22" s="46">
        <v>3</v>
      </c>
      <c r="C22" s="3" t="s">
        <v>51</v>
      </c>
      <c r="D22" s="3"/>
      <c r="J22" s="30" t="s">
        <v>41</v>
      </c>
      <c r="K22" s="31">
        <v>0.1</v>
      </c>
      <c r="L22" s="30">
        <f>+K22/(1+K22)</f>
        <v>9.0909090909090912E-2</v>
      </c>
    </row>
    <row r="23" spans="2:12" ht="18" customHeight="1">
      <c r="B23" s="139" t="s">
        <v>21</v>
      </c>
      <c r="C23" s="140"/>
      <c r="D23" s="141"/>
      <c r="E23" s="51" t="s">
        <v>58</v>
      </c>
      <c r="F23" s="51" t="s">
        <v>39</v>
      </c>
      <c r="G23" s="142" t="s">
        <v>38</v>
      </c>
      <c r="H23" s="143"/>
      <c r="J23" s="32" t="s">
        <v>21</v>
      </c>
      <c r="K23" s="32" t="s">
        <v>42</v>
      </c>
      <c r="L23" s="32" t="s">
        <v>43</v>
      </c>
    </row>
    <row r="24" spans="2:12" ht="18" customHeight="1">
      <c r="B24" s="124" t="s">
        <v>5</v>
      </c>
      <c r="C24" s="125"/>
      <c r="D24" s="44" t="s">
        <v>46</v>
      </c>
      <c r="E24" s="45">
        <f>+K24</f>
        <v>100000000</v>
      </c>
      <c r="F24" s="45">
        <f>+IF(K25&gt;0, K25, L25)</f>
        <v>9090909</v>
      </c>
      <c r="G24" s="126"/>
      <c r="H24" s="127"/>
      <c r="J24" s="30" t="s">
        <v>5</v>
      </c>
      <c r="K24" s="33">
        <v>100000000</v>
      </c>
      <c r="L24" s="30" t="s">
        <v>44</v>
      </c>
    </row>
    <row r="25" spans="2:12" ht="18" customHeight="1">
      <c r="B25" s="128" t="s">
        <v>122</v>
      </c>
      <c r="C25" s="129"/>
      <c r="D25" s="27" t="s">
        <v>47</v>
      </c>
      <c r="E25" s="25">
        <f>+K26</f>
        <v>40000000</v>
      </c>
      <c r="F25" s="25" t="s">
        <v>124</v>
      </c>
      <c r="G25" s="130"/>
      <c r="H25" s="131"/>
      <c r="J25" s="34" t="s">
        <v>37</v>
      </c>
      <c r="K25" s="30"/>
      <c r="L25" s="33">
        <f>+INT(K24*$L$22)</f>
        <v>9090909</v>
      </c>
    </row>
    <row r="26" spans="2:12" ht="21" customHeight="1">
      <c r="B26" s="46">
        <v>4</v>
      </c>
      <c r="C26" s="3" t="s">
        <v>6</v>
      </c>
      <c r="D26" s="3"/>
      <c r="F26" s="28"/>
      <c r="J26" s="30" t="s">
        <v>123</v>
      </c>
      <c r="K26" s="33">
        <v>40000000</v>
      </c>
      <c r="L26" s="30"/>
    </row>
    <row r="27" spans="2:12" ht="21" customHeight="1">
      <c r="C27" s="1" t="s">
        <v>64</v>
      </c>
      <c r="D27" s="3"/>
      <c r="J27" s="34"/>
      <c r="K27" s="33"/>
      <c r="L27" s="33"/>
    </row>
    <row r="28" spans="2:12" ht="21" customHeight="1">
      <c r="B28" s="2"/>
      <c r="C28" s="1" t="s">
        <v>194</v>
      </c>
      <c r="D28" s="3"/>
      <c r="J28" s="30"/>
      <c r="K28" s="33"/>
      <c r="L28" s="30"/>
    </row>
    <row r="29" spans="2:12" ht="21" customHeight="1">
      <c r="B29" s="2"/>
      <c r="C29" s="43" t="s">
        <v>65</v>
      </c>
      <c r="D29" s="3"/>
      <c r="J29" s="34"/>
      <c r="K29" s="33"/>
      <c r="L29" s="33"/>
    </row>
    <row r="30" spans="2:12" ht="21" customHeight="1">
      <c r="J30" s="34"/>
      <c r="K30" s="33"/>
      <c r="L30" s="33"/>
    </row>
    <row r="31" spans="2:12" ht="21" customHeight="1">
      <c r="J31" s="34"/>
      <c r="K31" s="29"/>
      <c r="L31" s="20"/>
    </row>
    <row r="32" spans="2:12" ht="21" customHeight="1"/>
    <row r="33" ht="21" customHeight="1"/>
    <row r="34" ht="21" customHeight="1"/>
  </sheetData>
  <mergeCells count="11">
    <mergeCell ref="B24:C24"/>
    <mergeCell ref="G24:H24"/>
    <mergeCell ref="B25:C25"/>
    <mergeCell ref="G25:H25"/>
    <mergeCell ref="B4:G4"/>
    <mergeCell ref="G6:H6"/>
    <mergeCell ref="E16:G16"/>
    <mergeCell ref="E20:G20"/>
    <mergeCell ref="E21:G21"/>
    <mergeCell ref="B23:D23"/>
    <mergeCell ref="G23:H23"/>
  </mergeCells>
  <phoneticPr fontId="1"/>
  <pageMargins left="0.78740157480314965" right="0.78740157480314965" top="0.98425196850393704" bottom="0.78740157480314965"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L38"/>
  <sheetViews>
    <sheetView topLeftCell="A22" zoomScaleNormal="100" workbookViewId="0"/>
  </sheetViews>
  <sheetFormatPr defaultRowHeight="24" customHeight="1"/>
  <cols>
    <col min="1" max="1" width="9" style="1"/>
    <col min="2" max="2" width="3.125" style="1" customWidth="1"/>
    <col min="3" max="3" width="23.625" style="1" customWidth="1"/>
    <col min="4" max="4" width="3.125" style="1" customWidth="1"/>
    <col min="5" max="6" width="12.625" style="1" customWidth="1"/>
    <col min="7" max="7" width="20.25" style="1" customWidth="1"/>
    <col min="8" max="9" width="3.125" style="1" customWidth="1"/>
    <col min="10" max="10" width="18.375" style="1" bestFit="1" customWidth="1"/>
    <col min="11" max="12" width="14.625" style="1" customWidth="1"/>
    <col min="13" max="16384" width="9" style="1"/>
  </cols>
  <sheetData>
    <row r="2" spans="2:11" ht="21" customHeight="1">
      <c r="B2" s="1" t="s">
        <v>133</v>
      </c>
      <c r="J2" s="107" t="str">
        <f>+金額情報入力!$AU$8</f>
        <v>03 部分払</v>
      </c>
    </row>
    <row r="3" spans="2:11" ht="21" customHeight="1"/>
    <row r="4" spans="2:11" ht="21" customHeight="1">
      <c r="B4" s="132" t="s">
        <v>132</v>
      </c>
      <c r="C4" s="132"/>
      <c r="D4" s="132"/>
      <c r="E4" s="132"/>
      <c r="F4" s="132"/>
      <c r="G4" s="132"/>
      <c r="H4" s="53"/>
    </row>
    <row r="5" spans="2:11" ht="21" customHeight="1"/>
    <row r="6" spans="2:11" ht="21" customHeight="1">
      <c r="G6" s="133" t="str">
        <f>+CONCATENATE(TEXT(K6, "ggg"), TEXT(K6, CONCATENATE(IF(LEN(TEXT(K6, "e"))=1, CHAR(32), ""), "e年")), TEXT(K6, CONCATENATE(IF(LEN(TEXT(K6, "m"))=1, CHAR(32), ""), "m月")), TEXT(K6, CONCATENATE(IF(LEN(TEXT(K6, "d"))=1, CHAR(32), ""), "d日")))</f>
        <v>令和 5年10月 1日</v>
      </c>
      <c r="H6" s="134"/>
      <c r="J6" s="32" t="s">
        <v>54</v>
      </c>
      <c r="K6" s="35">
        <f>+INDEX(TB_支払情報[請求年月日], MATCH($J$2, TB_支払情報[請求区分], 0), 1)</f>
        <v>45200</v>
      </c>
    </row>
    <row r="7" spans="2:11" ht="21" customHeight="1">
      <c r="F7" s="54"/>
      <c r="G7" s="55"/>
      <c r="H7" s="55"/>
      <c r="J7" s="32"/>
      <c r="K7" s="35"/>
    </row>
    <row r="8" spans="2:11" ht="21" customHeight="1">
      <c r="F8" s="47" t="str">
        <f>+基本情報入力!$B$3</f>
        <v>須ケ口建設株式会社</v>
      </c>
      <c r="G8" s="42"/>
      <c r="H8" s="42"/>
      <c r="J8" s="111" t="s">
        <v>186</v>
      </c>
      <c r="K8" s="35" t="s">
        <v>32</v>
      </c>
    </row>
    <row r="9" spans="2:11" ht="21" customHeight="1">
      <c r="F9" s="47" t="str">
        <f>+CONCATENATE(基本情報入力!$B$4, CHAR(8481), 基本情報入力!$B$5)</f>
        <v xml:space="preserve">代表取締役　清須　太郎 </v>
      </c>
      <c r="G9" s="42"/>
      <c r="H9" s="42"/>
      <c r="J9" s="32"/>
      <c r="K9" s="35"/>
    </row>
    <row r="10" spans="2:11" ht="21" customHeight="1">
      <c r="F10" s="47"/>
      <c r="G10" s="42"/>
      <c r="H10" s="42"/>
      <c r="J10" s="32"/>
      <c r="K10" s="35"/>
    </row>
    <row r="11" spans="2:11" ht="21" customHeight="1">
      <c r="F11" s="47" t="str">
        <f>+CONCATENATE("登録番号 ", 基本情報入力!$B$6)</f>
        <v>登録番号 T1-1234-1234-1234</v>
      </c>
      <c r="G11" s="42"/>
      <c r="H11" s="42"/>
      <c r="J11" s="32"/>
      <c r="K11" s="35"/>
    </row>
    <row r="12" spans="2:11" ht="21" customHeight="1"/>
    <row r="13" spans="2:11" ht="21" customHeight="1">
      <c r="B13" s="2" t="s">
        <v>0</v>
      </c>
      <c r="J13" s="1" t="s">
        <v>61</v>
      </c>
    </row>
    <row r="14" spans="2:11" ht="21" customHeight="1">
      <c r="B14" s="2" t="s">
        <v>31</v>
      </c>
    </row>
    <row r="15" spans="2:11" ht="21" customHeight="1"/>
    <row r="16" spans="2:11" ht="21" customHeight="1">
      <c r="C16" s="22" t="s">
        <v>1</v>
      </c>
      <c r="E16" s="135">
        <f ca="1">+E29</f>
        <v>4400000</v>
      </c>
      <c r="F16" s="135"/>
      <c r="G16" s="135"/>
      <c r="H16" s="48"/>
    </row>
    <row r="17" spans="2:12" ht="21" customHeight="1"/>
    <row r="18" spans="2:12" ht="21" customHeight="1">
      <c r="B18" s="1" t="s">
        <v>135</v>
      </c>
    </row>
    <row r="19" spans="2:12" ht="21" customHeight="1"/>
    <row r="20" spans="2:12" ht="21" customHeight="1">
      <c r="B20" s="46">
        <v>1</v>
      </c>
      <c r="C20" s="3" t="s">
        <v>3</v>
      </c>
      <c r="D20" s="3"/>
      <c r="E20" s="136" t="str">
        <f>+K20</f>
        <v>〇〇工事 その1</v>
      </c>
      <c r="F20" s="137"/>
      <c r="G20" s="137"/>
      <c r="H20" s="56"/>
      <c r="J20" s="37" t="s">
        <v>3</v>
      </c>
      <c r="K20" s="36" t="str">
        <f>+基本情報入力!$B$7</f>
        <v>〇〇工事 その1</v>
      </c>
    </row>
    <row r="21" spans="2:12" ht="21" customHeight="1">
      <c r="B21" s="46">
        <v>2</v>
      </c>
      <c r="C21" s="3" t="s">
        <v>4</v>
      </c>
      <c r="D21" s="3"/>
      <c r="E21" s="138" t="str">
        <f>+CONCATENATE(TEXT(K21, "ggg"), TEXT(K21, CONCATENATE(IF(LEN(TEXT(K21, "e"))=1, CHAR(32), ""), "e年")), TEXT(K21, CONCATENATE(IF(LEN(TEXT(K21, "m"))=1, CHAR(32), ""), "m月")), TEXT(K21, CONCATENATE(IF(LEN(TEXT(K21, "d"))=1, CHAR(32), ""), "d日")))</f>
        <v>令和 5年 4月 1日</v>
      </c>
      <c r="F21" s="138"/>
      <c r="G21" s="138"/>
      <c r="H21" s="52"/>
      <c r="J21" s="37" t="s">
        <v>4</v>
      </c>
      <c r="K21" s="35">
        <f>+基本情報入力!$B$8</f>
        <v>45017</v>
      </c>
    </row>
    <row r="22" spans="2:12" ht="21" customHeight="1">
      <c r="B22" s="46">
        <v>3</v>
      </c>
      <c r="C22" s="3" t="s">
        <v>134</v>
      </c>
      <c r="D22" s="3"/>
      <c r="E22" s="138" t="str">
        <f>+CONCATENATE(TEXT(K22, "ggg"), TEXT(K22, CONCATENATE(IF(LEN(TEXT(K22, "e"))=1, CHAR(32), ""), "e年")), TEXT(K22, CONCATENATE(IF(LEN(TEXT(K22, "m"))=1, CHAR(32), ""), "m月")), TEXT(K22, CONCATENATE(IF(LEN(TEXT(K22, "d"))=1, CHAR(32), ""), "d日")))</f>
        <v>令和 5年 9月30日</v>
      </c>
      <c r="F22" s="138"/>
      <c r="G22" s="138"/>
      <c r="H22" s="52"/>
      <c r="J22" s="38" t="s">
        <v>52</v>
      </c>
      <c r="K22" s="35">
        <f>+INDEX(TB_支払情報[検査等年月日], MATCH($J$2, TB_支払情報[請求区分], 0), 1)</f>
        <v>45199</v>
      </c>
    </row>
    <row r="23" spans="2:12" ht="21" customHeight="1">
      <c r="B23" s="46">
        <v>4</v>
      </c>
      <c r="C23" s="3" t="s">
        <v>51</v>
      </c>
      <c r="D23" s="3"/>
      <c r="J23" s="30" t="s">
        <v>191</v>
      </c>
      <c r="K23" s="31">
        <v>0.1</v>
      </c>
      <c r="L23" s="30"/>
    </row>
    <row r="24" spans="2:12" ht="18" customHeight="1">
      <c r="B24" s="139" t="s">
        <v>21</v>
      </c>
      <c r="C24" s="140"/>
      <c r="D24" s="141"/>
      <c r="E24" s="51" t="s">
        <v>58</v>
      </c>
      <c r="F24" s="51" t="s">
        <v>39</v>
      </c>
      <c r="G24" s="142" t="s">
        <v>38</v>
      </c>
      <c r="H24" s="143"/>
      <c r="J24" s="32" t="s">
        <v>21</v>
      </c>
      <c r="K24" s="32" t="s">
        <v>189</v>
      </c>
      <c r="L24" s="32" t="s">
        <v>190</v>
      </c>
    </row>
    <row r="25" spans="2:12" ht="18" customHeight="1">
      <c r="B25" s="124" t="s">
        <v>5</v>
      </c>
      <c r="C25" s="125"/>
      <c r="D25" s="44" t="s">
        <v>46</v>
      </c>
      <c r="E25" s="45">
        <f>+K25</f>
        <v>25888500</v>
      </c>
      <c r="F25" s="45">
        <f>+L25</f>
        <v>2353500</v>
      </c>
      <c r="G25" s="126"/>
      <c r="H25" s="127"/>
      <c r="J25" s="30" t="s">
        <v>5</v>
      </c>
      <c r="K25" s="109">
        <f>+INDEX(TB_支払情報[時点契約金額], MATCH($J$2, TB_支払情報[請求区分], 0), 1)</f>
        <v>25888500</v>
      </c>
      <c r="L25" s="33">
        <f>+SUMIFS(TB_契約情報[消費税相当額], TB_契約情報[契約年月日], "&lt;="&amp;$K$6)</f>
        <v>2353500</v>
      </c>
    </row>
    <row r="26" spans="2:12" ht="18" customHeight="1">
      <c r="B26" s="144" t="s">
        <v>66</v>
      </c>
      <c r="C26" s="145"/>
      <c r="D26" s="26" t="s">
        <v>47</v>
      </c>
      <c r="E26" s="24">
        <f>+K26</f>
        <v>0</v>
      </c>
      <c r="F26" s="24">
        <v>0</v>
      </c>
      <c r="G26" s="148" t="s">
        <v>55</v>
      </c>
      <c r="H26" s="149"/>
      <c r="J26" s="30" t="s">
        <v>36</v>
      </c>
      <c r="K26" s="109"/>
      <c r="L26" s="30"/>
    </row>
    <row r="27" spans="2:12" ht="18" customHeight="1">
      <c r="B27" s="144" t="s">
        <v>120</v>
      </c>
      <c r="C27" s="145"/>
      <c r="D27" s="26" t="s">
        <v>48</v>
      </c>
      <c r="E27" s="24">
        <f>+K27</f>
        <v>13000000</v>
      </c>
      <c r="F27" s="24">
        <f>+L27</f>
        <v>1181818</v>
      </c>
      <c r="G27" s="148" t="str">
        <f>+CONCATENATE(J23, TEXT(K23, "0%"))</f>
        <v>税率10%</v>
      </c>
      <c r="H27" s="149"/>
      <c r="J27" s="30" t="s">
        <v>40</v>
      </c>
      <c r="K27" s="109">
        <f>+INDEX(TB_支払情報[請求対象金額], MATCH($J$2, TB_支払情報[請求区分], 0), 1)</f>
        <v>13000000</v>
      </c>
      <c r="L27" s="109">
        <f>+INDEX(TB_支払情報[消費税相当額], MATCH($J$2, TB_支払情報[請求区分], 0), 1)</f>
        <v>1181818</v>
      </c>
    </row>
    <row r="28" spans="2:12" ht="18" customHeight="1">
      <c r="B28" s="144" t="s">
        <v>45</v>
      </c>
      <c r="C28" s="145"/>
      <c r="D28" s="26" t="s">
        <v>49</v>
      </c>
      <c r="E28" s="24">
        <f ca="1">+K28</f>
        <v>8600000</v>
      </c>
      <c r="F28" s="24" t="s">
        <v>44</v>
      </c>
      <c r="G28" s="148"/>
      <c r="H28" s="149"/>
      <c r="J28" s="112" t="s">
        <v>45</v>
      </c>
      <c r="K28" s="109">
        <f ca="1">+INDEX(TB_支払情報[前払金充当額], MATCH($J$2, TB_支払情報[請求区分], 0), 1)</f>
        <v>8600000</v>
      </c>
      <c r="L28" s="33"/>
    </row>
    <row r="29" spans="2:12" ht="18" customHeight="1">
      <c r="B29" s="128" t="s">
        <v>56</v>
      </c>
      <c r="C29" s="129"/>
      <c r="D29" s="27" t="s">
        <v>50</v>
      </c>
      <c r="E29" s="25">
        <f ca="1">+E27-E28</f>
        <v>4400000</v>
      </c>
      <c r="F29" s="25" t="s">
        <v>44</v>
      </c>
      <c r="G29" s="130"/>
      <c r="H29" s="131"/>
      <c r="J29" s="34"/>
      <c r="K29" s="33"/>
      <c r="L29" s="33"/>
    </row>
    <row r="30" spans="2:12" ht="21" customHeight="1">
      <c r="B30" s="46">
        <v>5</v>
      </c>
      <c r="C30" s="3" t="s">
        <v>6</v>
      </c>
      <c r="D30" s="3"/>
      <c r="F30" s="28" t="str">
        <f>+K30</f>
        <v/>
      </c>
      <c r="J30" s="34"/>
      <c r="K30" s="29" t="str">
        <f>+IF(INT(E27*L23-F27)&lt;=1, "", "#ERR# 消費税額計算エラー!!")</f>
        <v/>
      </c>
      <c r="L30" s="20"/>
    </row>
    <row r="31" spans="2:12" ht="21" customHeight="1">
      <c r="C31" s="1" t="str">
        <f>+CONCATENATE($K$31, CHAR(8481), $K$33, CHAR(8481), $K$32, CHAR(45), $K$34, CHAR(8481), $K$35, CHAR(8481), $K$36)</f>
        <v>〇〇銀行　△△支店　0001-123　当座 　01234567</v>
      </c>
      <c r="D31" s="3"/>
      <c r="J31" s="30" t="s">
        <v>7</v>
      </c>
      <c r="K31" s="30" t="str">
        <f>+INDEX(口座情報入力!$C$3:$D$10, MATCH($J31, 口座情報入力!$A$3:$A$10, 0), MATCH($K$8, LT_口座, 0))</f>
        <v>〇〇銀行</v>
      </c>
      <c r="L31" s="20"/>
    </row>
    <row r="32" spans="2:12" ht="21" customHeight="1">
      <c r="B32" s="2"/>
      <c r="C32" s="1" t="str">
        <f>+$K$38</f>
        <v>ｽｶｸﾞﾁｹﾝｾﾂ(ｶ ﾀﾞｲﾋｮｳﾄﾘｼﾏﾘﾔｸ ｷﾖｽ ﾀﾛｳ</v>
      </c>
      <c r="D32" s="3"/>
      <c r="J32" s="30" t="s">
        <v>16</v>
      </c>
      <c r="K32" s="30" t="str">
        <f>+TEXT(INDEX(口座情報入力!$C$3:$D$10, MATCH($J32, 口座情報入力!$A$3:$A$10, 0), MATCH($K$8, LT_口座, 0)), "0000")</f>
        <v>0001</v>
      </c>
    </row>
    <row r="33" spans="2:11" ht="21" customHeight="1">
      <c r="B33" s="2"/>
      <c r="C33" s="43" t="str">
        <f>+$K$37</f>
        <v>須ケ口建設株式会社　代表取締役　清須　太郎</v>
      </c>
      <c r="D33" s="3"/>
      <c r="J33" s="30" t="s">
        <v>17</v>
      </c>
      <c r="K33" s="30" t="str">
        <f>+INDEX(口座情報入力!$C$3:$D$10, MATCH($J33, 口座情報入力!$A$3:$A$10, 0), MATCH($K$8, LT_口座, 0))</f>
        <v>△△支店</v>
      </c>
    </row>
    <row r="34" spans="2:11" ht="21" customHeight="1">
      <c r="J34" s="30" t="s">
        <v>18</v>
      </c>
      <c r="K34" s="30" t="str">
        <f>+TEXT(INDEX(口座情報入力!$C$3:$D$10, MATCH($J34, 口座情報入力!$A$3:$A$10, 0), MATCH($K$8, LT_口座, 0)), "000")</f>
        <v>123</v>
      </c>
    </row>
    <row r="35" spans="2:11" ht="21" customHeight="1">
      <c r="J35" s="30" t="s">
        <v>8</v>
      </c>
      <c r="K35" s="30" t="str">
        <f>+INDEX(口座情報入力!$C$3:$D$10, MATCH($J35, 口座情報入力!$A$3:$A$10, 0), MATCH($K$8, LT_口座, 0))</f>
        <v xml:space="preserve">当座 </v>
      </c>
    </row>
    <row r="36" spans="2:11" ht="21" customHeight="1">
      <c r="J36" s="30" t="s">
        <v>12</v>
      </c>
      <c r="K36" s="30" t="str">
        <f>+TEXT(INDEX(口座情報入力!$C$3:$D$10, MATCH($J36, 口座情報入力!$A$3:$A$10, 0), MATCH($K$8, LT_口座, 0)), REPT(0, 8))</f>
        <v>01234567</v>
      </c>
    </row>
    <row r="37" spans="2:11" ht="21" customHeight="1">
      <c r="J37" s="30" t="s">
        <v>19</v>
      </c>
      <c r="K37" s="30" t="str">
        <f>+INDEX(口座情報入力!$C$3:$D$10, MATCH($J37, 口座情報入力!$A$3:$A$10, 0), MATCH($K$8, LT_口座, 0))</f>
        <v>須ケ口建設株式会社　代表取締役　清須　太郎</v>
      </c>
    </row>
    <row r="38" spans="2:11" ht="24" customHeight="1">
      <c r="J38" s="30" t="s">
        <v>20</v>
      </c>
      <c r="K38" s="30" t="str">
        <f>+INDEX(口座情報入力!$C$3:$D$10, MATCH($J38, 口座情報入力!$A$3:$A$10, 0), MATCH($K$8, LT_口座, 0))</f>
        <v>ｽｶｸﾞﾁｹﾝｾﾂ(ｶ ﾀﾞｲﾋｮｳﾄﾘｼﾏﾘﾔｸ ｷﾖｽ ﾀﾛｳ</v>
      </c>
    </row>
  </sheetData>
  <mergeCells count="18">
    <mergeCell ref="B27:C27"/>
    <mergeCell ref="G27:H27"/>
    <mergeCell ref="B28:C28"/>
    <mergeCell ref="G28:H28"/>
    <mergeCell ref="B29:C29"/>
    <mergeCell ref="G29:H29"/>
    <mergeCell ref="B24:D24"/>
    <mergeCell ref="G24:H24"/>
    <mergeCell ref="B25:C25"/>
    <mergeCell ref="G25:H25"/>
    <mergeCell ref="B26:C26"/>
    <mergeCell ref="G26:H26"/>
    <mergeCell ref="E22:G22"/>
    <mergeCell ref="B4:G4"/>
    <mergeCell ref="G6:H6"/>
    <mergeCell ref="E16:G16"/>
    <mergeCell ref="E20:G20"/>
    <mergeCell ref="E21:G21"/>
  </mergeCells>
  <phoneticPr fontId="1"/>
  <dataValidations count="1">
    <dataValidation type="list" allowBlank="1" showInputMessage="1" showErrorMessage="1" sqref="K8">
      <formula1>LT_口座</formula1>
    </dataValidation>
  </dataValidations>
  <pageMargins left="0.78740157480314965" right="0.78740157480314965" top="0.98425196850393704" bottom="0.78740157480314965"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L38"/>
  <sheetViews>
    <sheetView zoomScaleNormal="100" workbookViewId="0"/>
  </sheetViews>
  <sheetFormatPr defaultRowHeight="24" customHeight="1"/>
  <cols>
    <col min="1" max="1" width="9" style="1"/>
    <col min="2" max="2" width="3.125" style="1" customWidth="1"/>
    <col min="3" max="3" width="23.625" style="1" customWidth="1"/>
    <col min="4" max="4" width="3.125" style="1" customWidth="1"/>
    <col min="5" max="6" width="12.625" style="1" customWidth="1"/>
    <col min="7" max="7" width="20.25" style="1" customWidth="1"/>
    <col min="8" max="9" width="3.125" style="1" customWidth="1"/>
    <col min="10" max="10" width="18.375" style="1" bestFit="1" customWidth="1"/>
    <col min="11" max="12" width="14.625" style="1" customWidth="1"/>
    <col min="13" max="16384" width="9" style="1"/>
  </cols>
  <sheetData>
    <row r="2" spans="2:11" ht="21" customHeight="1">
      <c r="B2" s="1" t="s">
        <v>59</v>
      </c>
      <c r="J2" s="107" t="str">
        <f>+金額情報入力!$AU$9</f>
        <v>04 完了</v>
      </c>
    </row>
    <row r="3" spans="2:11" ht="21" customHeight="1"/>
    <row r="4" spans="2:11" ht="21" customHeight="1">
      <c r="B4" s="132" t="s">
        <v>53</v>
      </c>
      <c r="C4" s="132"/>
      <c r="D4" s="132"/>
      <c r="E4" s="132"/>
      <c r="F4" s="132"/>
      <c r="G4" s="132"/>
      <c r="H4" s="53"/>
    </row>
    <row r="5" spans="2:11" ht="21" customHeight="1"/>
    <row r="6" spans="2:11" ht="21" customHeight="1">
      <c r="G6" s="133" t="str">
        <f>+CONCATENATE(TEXT(K6, "ggg"), TEXT(K6, CONCATENATE(IF(LEN(TEXT(K6, "e"))=1, CHAR(32), ""), "e年")), TEXT(K6, CONCATENATE(IF(LEN(TEXT(K6, "m"))=1, CHAR(32), ""), "m月")), TEXT(K6, CONCATENATE(IF(LEN(TEXT(K6, "d"))=1, CHAR(32), ""), "d日")))</f>
        <v>令和 5年12月 1日</v>
      </c>
      <c r="H6" s="134"/>
      <c r="J6" s="32" t="s">
        <v>54</v>
      </c>
      <c r="K6" s="35">
        <v>45261</v>
      </c>
    </row>
    <row r="7" spans="2:11" ht="21" customHeight="1">
      <c r="F7" s="54"/>
      <c r="G7" s="55"/>
      <c r="H7" s="55"/>
      <c r="J7" s="32"/>
      <c r="K7" s="35"/>
    </row>
    <row r="8" spans="2:11" ht="21" customHeight="1">
      <c r="F8" s="47" t="str">
        <f>+基本情報入力!$B$3</f>
        <v>須ケ口建設株式会社</v>
      </c>
      <c r="G8" s="42"/>
      <c r="H8" s="42"/>
      <c r="J8" s="111" t="s">
        <v>186</v>
      </c>
      <c r="K8" s="35" t="s">
        <v>32</v>
      </c>
    </row>
    <row r="9" spans="2:11" ht="21" customHeight="1">
      <c r="F9" s="47" t="str">
        <f>+CONCATENATE(基本情報入力!$B$4, CHAR(8481), 基本情報入力!$B$5)</f>
        <v xml:space="preserve">代表取締役　清須　太郎 </v>
      </c>
      <c r="G9" s="42"/>
      <c r="H9" s="42"/>
      <c r="J9" s="32"/>
      <c r="K9" s="35"/>
    </row>
    <row r="10" spans="2:11" ht="21" customHeight="1">
      <c r="F10" s="47"/>
      <c r="G10" s="42"/>
      <c r="H10" s="42"/>
      <c r="J10" s="32"/>
      <c r="K10" s="35"/>
    </row>
    <row r="11" spans="2:11" ht="21" customHeight="1">
      <c r="F11" s="47" t="str">
        <f>+CONCATENATE("登録番号 ", 基本情報入力!$B$6)</f>
        <v>登録番号 T1-1234-1234-1234</v>
      </c>
      <c r="G11" s="42"/>
      <c r="H11" s="42"/>
      <c r="J11" s="32"/>
      <c r="K11" s="35"/>
    </row>
    <row r="12" spans="2:11" ht="21" customHeight="1"/>
    <row r="13" spans="2:11" ht="21" customHeight="1">
      <c r="B13" s="2" t="s">
        <v>0</v>
      </c>
      <c r="J13" s="1" t="s">
        <v>61</v>
      </c>
    </row>
    <row r="14" spans="2:11" ht="21" customHeight="1">
      <c r="B14" s="2" t="s">
        <v>31</v>
      </c>
    </row>
    <row r="15" spans="2:11" ht="21" customHeight="1"/>
    <row r="16" spans="2:11" ht="21" customHeight="1">
      <c r="C16" s="22" t="s">
        <v>1</v>
      </c>
      <c r="E16" s="135">
        <f ca="1">+E29</f>
        <v>18988500</v>
      </c>
      <c r="F16" s="135"/>
      <c r="G16" s="135"/>
      <c r="H16" s="48"/>
    </row>
    <row r="17" spans="2:12" ht="21" customHeight="1"/>
    <row r="18" spans="2:12" ht="21" customHeight="1">
      <c r="B18" s="1" t="s">
        <v>195</v>
      </c>
    </row>
    <row r="19" spans="2:12" ht="21" customHeight="1"/>
    <row r="20" spans="2:12" ht="21" customHeight="1">
      <c r="B20" s="46">
        <v>1</v>
      </c>
      <c r="C20" s="3" t="s">
        <v>3</v>
      </c>
      <c r="D20" s="3"/>
      <c r="E20" s="136" t="str">
        <f>+K20</f>
        <v>〇〇工事R5-1</v>
      </c>
      <c r="F20" s="137"/>
      <c r="G20" s="137"/>
      <c r="H20" s="56"/>
      <c r="J20" s="37" t="s">
        <v>3</v>
      </c>
      <c r="K20" s="36" t="s">
        <v>60</v>
      </c>
    </row>
    <row r="21" spans="2:12" ht="21" customHeight="1">
      <c r="B21" s="46">
        <v>2</v>
      </c>
      <c r="C21" s="3" t="s">
        <v>4</v>
      </c>
      <c r="D21" s="3"/>
      <c r="E21" s="138" t="str">
        <f>+CONCATENATE(TEXT(K21, "ggg"), TEXT(K21, CONCATENATE(IF(LEN(TEXT(K21, "e"))=1, CHAR(32), ""), "e年")), TEXT(K21, CONCATENATE(IF(LEN(TEXT(K21, "m"))=1, CHAR(32), ""), "m月")), TEXT(K21, CONCATENATE(IF(LEN(TEXT(K21, "d"))=1, CHAR(32), ""), "d日")))</f>
        <v>令和 5年 4月 1日</v>
      </c>
      <c r="F21" s="138"/>
      <c r="G21" s="138"/>
      <c r="H21" s="52"/>
      <c r="J21" s="37" t="s">
        <v>4</v>
      </c>
      <c r="K21" s="35">
        <v>45017</v>
      </c>
    </row>
    <row r="22" spans="2:12" ht="21" customHeight="1">
      <c r="B22" s="46">
        <v>3</v>
      </c>
      <c r="C22" s="3" t="s">
        <v>52</v>
      </c>
      <c r="D22" s="3"/>
      <c r="E22" s="138" t="str">
        <f>+CONCATENATE(TEXT(K22, "ggg"), TEXT(K22, CONCATENATE(IF(LEN(TEXT(K22, "e"))=1, CHAR(32), ""), "e年")), TEXT(K22, CONCATENATE(IF(LEN(TEXT(K22, "m"))=1, CHAR(32), ""), "m月")), TEXT(K22, CONCATENATE(IF(LEN(TEXT(K22, "d"))=1, CHAR(32), ""), "d日")))</f>
        <v>令和 5年11月30日</v>
      </c>
      <c r="F22" s="138"/>
      <c r="G22" s="138"/>
      <c r="H22" s="52"/>
      <c r="J22" s="38" t="s">
        <v>52</v>
      </c>
      <c r="K22" s="35">
        <v>45260</v>
      </c>
    </row>
    <row r="23" spans="2:12" ht="21" customHeight="1">
      <c r="B23" s="46">
        <v>4</v>
      </c>
      <c r="C23" s="3" t="s">
        <v>51</v>
      </c>
      <c r="D23" s="3"/>
      <c r="J23" s="30" t="s">
        <v>41</v>
      </c>
      <c r="K23" s="31">
        <v>0.1</v>
      </c>
      <c r="L23" s="30"/>
    </row>
    <row r="24" spans="2:12" ht="18" customHeight="1">
      <c r="B24" s="139" t="s">
        <v>21</v>
      </c>
      <c r="C24" s="140"/>
      <c r="D24" s="141"/>
      <c r="E24" s="51" t="s">
        <v>58</v>
      </c>
      <c r="F24" s="51" t="s">
        <v>39</v>
      </c>
      <c r="G24" s="142" t="s">
        <v>38</v>
      </c>
      <c r="H24" s="143"/>
      <c r="J24" s="32" t="s">
        <v>21</v>
      </c>
      <c r="K24" s="32" t="s">
        <v>189</v>
      </c>
      <c r="L24" s="32" t="s">
        <v>190</v>
      </c>
    </row>
    <row r="25" spans="2:12" ht="18" customHeight="1">
      <c r="B25" s="124" t="s">
        <v>5</v>
      </c>
      <c r="C25" s="125"/>
      <c r="D25" s="44" t="s">
        <v>46</v>
      </c>
      <c r="E25" s="45">
        <f>+K25</f>
        <v>25888500</v>
      </c>
      <c r="F25" s="45">
        <f>+L25</f>
        <v>2353500</v>
      </c>
      <c r="G25" s="126"/>
      <c r="H25" s="127"/>
      <c r="J25" s="30" t="s">
        <v>5</v>
      </c>
      <c r="K25" s="109">
        <f>+INDEX(TB_支払情報[時点契約金額], MATCH($J$2, TB_支払情報[請求区分], 0), 1)</f>
        <v>25888500</v>
      </c>
      <c r="L25" s="33">
        <f>+SUMIFS(TB_契約情報[消費税相当額], TB_契約情報[契約年月日], "&lt;="&amp;$K$6)</f>
        <v>2353500</v>
      </c>
    </row>
    <row r="26" spans="2:12" ht="18" customHeight="1">
      <c r="B26" s="144" t="s">
        <v>66</v>
      </c>
      <c r="C26" s="145"/>
      <c r="D26" s="26" t="s">
        <v>47</v>
      </c>
      <c r="E26" s="24">
        <f>+K26</f>
        <v>0</v>
      </c>
      <c r="F26" s="24">
        <v>0</v>
      </c>
      <c r="G26" s="148" t="s">
        <v>55</v>
      </c>
      <c r="H26" s="149"/>
      <c r="J26" s="30" t="s">
        <v>36</v>
      </c>
      <c r="K26" s="109"/>
      <c r="L26" s="30"/>
    </row>
    <row r="27" spans="2:12" ht="18" customHeight="1">
      <c r="B27" s="144" t="s">
        <v>120</v>
      </c>
      <c r="C27" s="145"/>
      <c r="D27" s="26" t="s">
        <v>48</v>
      </c>
      <c r="E27" s="24">
        <f>+E25-E26</f>
        <v>25888500</v>
      </c>
      <c r="F27" s="24">
        <f>+L27</f>
        <v>1171682</v>
      </c>
      <c r="G27" s="148" t="str">
        <f>+CONCATENATE(J23, TEXT(K23, "0%"))</f>
        <v>税率10%</v>
      </c>
      <c r="H27" s="149"/>
      <c r="J27" s="30" t="s">
        <v>40</v>
      </c>
      <c r="K27" s="109">
        <f>+INDEX(TB_支払情報[請求対象金額], MATCH($J$2, TB_支払情報[請求区分], 0), 1)</f>
        <v>12888500</v>
      </c>
      <c r="L27" s="109">
        <f>+INDEX(TB_支払情報[消費税相当額], MATCH($J$2, TB_支払情報[請求区分], 0), 1)</f>
        <v>1171682</v>
      </c>
    </row>
    <row r="28" spans="2:12" ht="18" customHeight="1">
      <c r="B28" s="144" t="s">
        <v>45</v>
      </c>
      <c r="C28" s="145"/>
      <c r="D28" s="26" t="s">
        <v>49</v>
      </c>
      <c r="E28" s="24">
        <f ca="1">+K28</f>
        <v>6900000</v>
      </c>
      <c r="F28" s="24" t="s">
        <v>44</v>
      </c>
      <c r="G28" s="148"/>
      <c r="H28" s="149"/>
      <c r="J28" s="34" t="s">
        <v>45</v>
      </c>
      <c r="K28" s="109">
        <f ca="1">+INDEX(TB_支払情報[前払金充当額], MATCH($J$2, TB_支払情報[請求区分], 0), 1)</f>
        <v>6900000</v>
      </c>
      <c r="L28" s="33"/>
    </row>
    <row r="29" spans="2:12" ht="18" customHeight="1">
      <c r="B29" s="128" t="s">
        <v>56</v>
      </c>
      <c r="C29" s="129"/>
      <c r="D29" s="27" t="s">
        <v>50</v>
      </c>
      <c r="E29" s="25">
        <f ca="1">+E27-E28</f>
        <v>18988500</v>
      </c>
      <c r="F29" s="25" t="s">
        <v>44</v>
      </c>
      <c r="G29" s="130"/>
      <c r="H29" s="131"/>
    </row>
    <row r="30" spans="2:12" ht="21" customHeight="1">
      <c r="B30" s="46">
        <v>5</v>
      </c>
      <c r="C30" s="3" t="s">
        <v>6</v>
      </c>
      <c r="D30" s="3"/>
      <c r="F30" s="28"/>
      <c r="J30" s="20"/>
    </row>
    <row r="31" spans="2:12" ht="21" customHeight="1">
      <c r="C31" s="1" t="str">
        <f>+CONCATENATE($K$31, CHAR(8481), $K$33, CHAR(8481), $K$32, CHAR(45), $K$34, CHAR(8481), $K$35, CHAR(8481), $K$36)</f>
        <v>〇〇銀行　△△支店　0001-123　当座 　01234567</v>
      </c>
      <c r="D31" s="3"/>
      <c r="J31" s="30" t="s">
        <v>7</v>
      </c>
      <c r="K31" s="30" t="str">
        <f>+INDEX(口座情報入力!$C$3:$D$10, MATCH($J31, 口座情報入力!$A$3:$A$10, 0), MATCH($K$8, LT_口座, 0))</f>
        <v>〇〇銀行</v>
      </c>
    </row>
    <row r="32" spans="2:12" ht="21" customHeight="1">
      <c r="B32" s="2"/>
      <c r="C32" s="1" t="str">
        <f>+$K$38</f>
        <v>ｽｶｸﾞﾁｹﾝｾﾂ(ｶ ﾀﾞｲﾋｮｳﾄﾘｼﾏﾘﾔｸ ｷﾖｽ ﾀﾛｳ</v>
      </c>
      <c r="D32" s="3"/>
      <c r="G32" s="20"/>
      <c r="J32" s="30" t="s">
        <v>16</v>
      </c>
      <c r="K32" s="30" t="str">
        <f>+TEXT(INDEX(口座情報入力!$C$3:$D$10, MATCH($J32, 口座情報入力!$A$3:$A$10, 0), MATCH($K$8, LT_口座, 0)), "0000")</f>
        <v>0001</v>
      </c>
    </row>
    <row r="33" spans="2:11" ht="21" customHeight="1">
      <c r="B33" s="2"/>
      <c r="C33" s="43" t="str">
        <f>+$K$37</f>
        <v>須ケ口建設株式会社　代表取締役　清須　太郎</v>
      </c>
      <c r="D33" s="3"/>
      <c r="J33" s="30" t="s">
        <v>17</v>
      </c>
      <c r="K33" s="30" t="str">
        <f>+INDEX(口座情報入力!$C$3:$D$10, MATCH($J33, 口座情報入力!$A$3:$A$10, 0), MATCH($K$8, LT_口座, 0))</f>
        <v>△△支店</v>
      </c>
    </row>
    <row r="34" spans="2:11" ht="21" customHeight="1">
      <c r="J34" s="30" t="s">
        <v>18</v>
      </c>
      <c r="K34" s="30" t="str">
        <f>+TEXT(INDEX(口座情報入力!$C$3:$D$10, MATCH($J34, 口座情報入力!$A$3:$A$10, 0), MATCH($K$8, LT_口座, 0)), "000")</f>
        <v>123</v>
      </c>
    </row>
    <row r="35" spans="2:11" ht="21" customHeight="1">
      <c r="J35" s="30" t="s">
        <v>8</v>
      </c>
      <c r="K35" s="30" t="str">
        <f>+INDEX(口座情報入力!$C$3:$D$10, MATCH($J35, 口座情報入力!$A$3:$A$10, 0), MATCH($K$8, LT_口座, 0))</f>
        <v xml:space="preserve">当座 </v>
      </c>
    </row>
    <row r="36" spans="2:11" ht="21" customHeight="1">
      <c r="J36" s="30" t="s">
        <v>12</v>
      </c>
      <c r="K36" s="30" t="str">
        <f>+TEXT(INDEX(口座情報入力!$C$3:$D$10, MATCH($J36, 口座情報入力!$A$3:$A$10, 0), MATCH($K$8, LT_口座, 0)), REPT(0, 8))</f>
        <v>01234567</v>
      </c>
    </row>
    <row r="37" spans="2:11" ht="21" customHeight="1">
      <c r="J37" s="30" t="s">
        <v>19</v>
      </c>
      <c r="K37" s="30" t="str">
        <f>+INDEX(口座情報入力!$C$3:$D$10, MATCH($J37, 口座情報入力!$A$3:$A$10, 0), MATCH($K$8, LT_口座, 0))</f>
        <v>須ケ口建設株式会社　代表取締役　清須　太郎</v>
      </c>
    </row>
    <row r="38" spans="2:11" ht="24" customHeight="1">
      <c r="J38" s="30" t="s">
        <v>20</v>
      </c>
      <c r="K38" s="30" t="str">
        <f>+INDEX(口座情報入力!$C$3:$D$10, MATCH($J38, 口座情報入力!$A$3:$A$10, 0), MATCH($K$8, LT_口座, 0))</f>
        <v>ｽｶｸﾞﾁｹﾝｾﾂ(ｶ ﾀﾞｲﾋｮｳﾄﾘｼﾏﾘﾔｸ ｷﾖｽ ﾀﾛｳ</v>
      </c>
    </row>
  </sheetData>
  <mergeCells count="18">
    <mergeCell ref="B27:C27"/>
    <mergeCell ref="G27:H27"/>
    <mergeCell ref="B28:C28"/>
    <mergeCell ref="G28:H28"/>
    <mergeCell ref="B29:C29"/>
    <mergeCell ref="G29:H29"/>
    <mergeCell ref="B24:D24"/>
    <mergeCell ref="G24:H24"/>
    <mergeCell ref="B25:C25"/>
    <mergeCell ref="G25:H25"/>
    <mergeCell ref="B26:C26"/>
    <mergeCell ref="G26:H26"/>
    <mergeCell ref="E22:G22"/>
    <mergeCell ref="B4:G4"/>
    <mergeCell ref="G6:H6"/>
    <mergeCell ref="E16:G16"/>
    <mergeCell ref="E20:G20"/>
    <mergeCell ref="E21:G21"/>
  </mergeCells>
  <phoneticPr fontId="1"/>
  <dataValidations count="1">
    <dataValidation type="list" allowBlank="1" showInputMessage="1" showErrorMessage="1" sqref="K8">
      <formula1>LT_口座</formula1>
    </dataValidation>
  </dataValidations>
  <pageMargins left="0.78740157480314965" right="0.78740157480314965" top="0.98425196850393704"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L34"/>
  <sheetViews>
    <sheetView zoomScaleNormal="100" workbookViewId="0"/>
  </sheetViews>
  <sheetFormatPr defaultRowHeight="24" customHeight="1"/>
  <cols>
    <col min="1" max="1" width="9" style="1"/>
    <col min="2" max="2" width="3.125" style="1" customWidth="1"/>
    <col min="3" max="3" width="23.625" style="1" customWidth="1"/>
    <col min="4" max="4" width="3.125" style="1" customWidth="1"/>
    <col min="5" max="6" width="12.625" style="1" customWidth="1"/>
    <col min="7" max="7" width="20.25" style="1" customWidth="1"/>
    <col min="8" max="9" width="3.125" style="1" customWidth="1"/>
    <col min="10" max="10" width="18.375" style="1" bestFit="1" customWidth="1"/>
    <col min="11" max="12" width="14.625" style="1" customWidth="1"/>
    <col min="13" max="16384" width="9" style="1"/>
  </cols>
  <sheetData>
    <row r="2" spans="2:11" ht="21" customHeight="1">
      <c r="B2" s="1" t="s">
        <v>125</v>
      </c>
    </row>
    <row r="3" spans="2:11" ht="21" customHeight="1"/>
    <row r="4" spans="2:11" ht="21" customHeight="1">
      <c r="B4" s="132" t="s">
        <v>126</v>
      </c>
      <c r="C4" s="132"/>
      <c r="D4" s="132"/>
      <c r="E4" s="132"/>
      <c r="F4" s="132"/>
      <c r="G4" s="132"/>
      <c r="H4" s="53"/>
    </row>
    <row r="5" spans="2:11" ht="21" customHeight="1"/>
    <row r="6" spans="2:11" ht="21" customHeight="1">
      <c r="G6" s="133" t="str">
        <f>+CONCATENATE(TEXT(K6, "ggg"), TEXT(K6, CONCATENATE(IF(LEN(TEXT(K6, "e"))=1, CHAR(32), ""), "e年")), TEXT(K6, CONCATENATE(IF(LEN(TEXT(K6, "m"))=1, CHAR(32), ""), "m月")), TEXT(K6, CONCATENATE(IF(LEN(TEXT(K6, "d"))=1, CHAR(32), ""), "d日")))</f>
        <v>令和 5年 8月 1日</v>
      </c>
      <c r="H6" s="134"/>
      <c r="J6" s="32" t="s">
        <v>54</v>
      </c>
      <c r="K6" s="35">
        <v>45139</v>
      </c>
    </row>
    <row r="7" spans="2:11" ht="21" customHeight="1">
      <c r="F7" s="54"/>
      <c r="G7" s="55"/>
      <c r="H7" s="55"/>
      <c r="J7" s="32"/>
      <c r="K7" s="35"/>
    </row>
    <row r="8" spans="2:11" ht="21" customHeight="1">
      <c r="F8" s="47" t="s">
        <v>63</v>
      </c>
      <c r="G8" s="42"/>
      <c r="H8" s="42"/>
      <c r="J8" s="32"/>
      <c r="K8" s="35"/>
    </row>
    <row r="9" spans="2:11" ht="21" customHeight="1">
      <c r="F9" s="47" t="s">
        <v>62</v>
      </c>
      <c r="G9" s="42"/>
      <c r="H9" s="42"/>
      <c r="J9" s="32"/>
      <c r="K9" s="35"/>
    </row>
    <row r="10" spans="2:11" ht="21" customHeight="1">
      <c r="F10" s="47"/>
      <c r="G10" s="42"/>
      <c r="H10" s="42"/>
      <c r="J10" s="32"/>
      <c r="K10" s="35"/>
    </row>
    <row r="11" spans="2:11" ht="21" customHeight="1">
      <c r="F11" s="47"/>
      <c r="G11" s="42"/>
      <c r="H11" s="42"/>
      <c r="J11" s="32"/>
      <c r="K11" s="35"/>
    </row>
    <row r="12" spans="2:11" ht="21" customHeight="1"/>
    <row r="13" spans="2:11" ht="21" customHeight="1">
      <c r="B13" s="2" t="s">
        <v>0</v>
      </c>
      <c r="J13" s="1" t="s">
        <v>61</v>
      </c>
    </row>
    <row r="14" spans="2:11" ht="21" customHeight="1">
      <c r="B14" s="2" t="s">
        <v>31</v>
      </c>
    </row>
    <row r="15" spans="2:11" ht="21" customHeight="1"/>
    <row r="16" spans="2:11" ht="21" customHeight="1">
      <c r="C16" s="22" t="s">
        <v>1</v>
      </c>
      <c r="E16" s="135">
        <f>+E26</f>
        <v>20000000</v>
      </c>
      <c r="F16" s="135"/>
      <c r="G16" s="135"/>
      <c r="H16" s="48"/>
    </row>
    <row r="17" spans="2:12" ht="21" customHeight="1"/>
    <row r="18" spans="2:12" ht="21" customHeight="1">
      <c r="B18" s="2" t="s">
        <v>131</v>
      </c>
    </row>
    <row r="19" spans="2:12" ht="21" customHeight="1"/>
    <row r="20" spans="2:12" ht="21" customHeight="1">
      <c r="B20" s="46">
        <v>1</v>
      </c>
      <c r="C20" s="3" t="s">
        <v>3</v>
      </c>
      <c r="D20" s="3"/>
      <c r="E20" s="136" t="str">
        <f>+K20</f>
        <v>〇〇工事R5-1</v>
      </c>
      <c r="F20" s="137"/>
      <c r="G20" s="137"/>
      <c r="H20" s="56"/>
      <c r="J20" s="37" t="s">
        <v>3</v>
      </c>
      <c r="K20" s="36" t="s">
        <v>60</v>
      </c>
    </row>
    <row r="21" spans="2:12" ht="21" customHeight="1">
      <c r="B21" s="46">
        <v>2</v>
      </c>
      <c r="C21" s="3" t="s">
        <v>4</v>
      </c>
      <c r="D21" s="3"/>
      <c r="E21" s="138" t="str">
        <f>+CONCATENATE(TEXT(K21, "ggg"), TEXT(K21, CONCATENATE(IF(LEN(TEXT(K21, "e"))=1, CHAR(32), ""), "e年")), TEXT(K21, CONCATENATE(IF(LEN(TEXT(K21, "m"))=1, CHAR(32), ""), "m月")), TEXT(K21, CONCATENATE(IF(LEN(TEXT(K21, "d"))=1, CHAR(32), ""), "d日")))</f>
        <v>令和 5年 4月 1日</v>
      </c>
      <c r="F21" s="138"/>
      <c r="G21" s="138"/>
      <c r="H21" s="52"/>
      <c r="J21" s="37" t="s">
        <v>4</v>
      </c>
      <c r="K21" s="35">
        <v>45017</v>
      </c>
    </row>
    <row r="22" spans="2:12" ht="21" customHeight="1">
      <c r="B22" s="46">
        <v>3</v>
      </c>
      <c r="C22" s="3" t="s">
        <v>51</v>
      </c>
      <c r="D22" s="3"/>
      <c r="J22" s="30" t="s">
        <v>41</v>
      </c>
      <c r="K22" s="31">
        <v>0.1</v>
      </c>
      <c r="L22" s="30">
        <f>+K22/(1+K22)</f>
        <v>9.0909090909090912E-2</v>
      </c>
    </row>
    <row r="23" spans="2:12" ht="18" customHeight="1">
      <c r="B23" s="139" t="s">
        <v>21</v>
      </c>
      <c r="C23" s="140"/>
      <c r="D23" s="141"/>
      <c r="E23" s="51" t="s">
        <v>58</v>
      </c>
      <c r="F23" s="51" t="s">
        <v>39</v>
      </c>
      <c r="G23" s="142" t="s">
        <v>38</v>
      </c>
      <c r="H23" s="143"/>
      <c r="J23" s="32" t="s">
        <v>21</v>
      </c>
      <c r="K23" s="32" t="s">
        <v>42</v>
      </c>
      <c r="L23" s="32" t="s">
        <v>43</v>
      </c>
    </row>
    <row r="24" spans="2:12" ht="18" customHeight="1">
      <c r="B24" s="124" t="s">
        <v>5</v>
      </c>
      <c r="C24" s="125"/>
      <c r="D24" s="44" t="s">
        <v>46</v>
      </c>
      <c r="E24" s="45">
        <f>+K24</f>
        <v>100000000</v>
      </c>
      <c r="F24" s="45">
        <f>+IF(K25&gt;0, K25, L25)</f>
        <v>9090909</v>
      </c>
      <c r="G24" s="126"/>
      <c r="H24" s="127"/>
      <c r="J24" s="30" t="s">
        <v>5</v>
      </c>
      <c r="K24" s="33">
        <v>100000000</v>
      </c>
      <c r="L24" s="30" t="s">
        <v>44</v>
      </c>
    </row>
    <row r="25" spans="2:12" ht="18" customHeight="1">
      <c r="B25" s="144" t="s">
        <v>127</v>
      </c>
      <c r="C25" s="145"/>
      <c r="D25" s="73" t="s">
        <v>47</v>
      </c>
      <c r="E25" s="74">
        <f>+K26</f>
        <v>40000000</v>
      </c>
      <c r="F25" s="74" t="s">
        <v>44</v>
      </c>
      <c r="G25" s="75"/>
      <c r="H25" s="76"/>
      <c r="J25" s="34" t="s">
        <v>37</v>
      </c>
      <c r="K25" s="30"/>
      <c r="L25" s="33">
        <f>+INT(K24*$L$22)</f>
        <v>9090909</v>
      </c>
    </row>
    <row r="26" spans="2:12" ht="18" customHeight="1">
      <c r="B26" s="146" t="s">
        <v>128</v>
      </c>
      <c r="C26" s="147"/>
      <c r="D26" s="27" t="s">
        <v>47</v>
      </c>
      <c r="E26" s="25">
        <f>+K27</f>
        <v>20000000</v>
      </c>
      <c r="F26" s="25" t="s">
        <v>124</v>
      </c>
      <c r="G26" s="130"/>
      <c r="H26" s="131"/>
      <c r="J26" s="30" t="s">
        <v>129</v>
      </c>
      <c r="K26" s="33">
        <v>40000000</v>
      </c>
    </row>
    <row r="27" spans="2:12" ht="21" customHeight="1">
      <c r="B27" s="67"/>
      <c r="C27" s="68"/>
      <c r="D27" s="69"/>
      <c r="E27" s="70"/>
      <c r="F27" s="70"/>
      <c r="G27" s="71"/>
      <c r="H27" s="72"/>
      <c r="J27" s="30" t="s">
        <v>130</v>
      </c>
      <c r="K27" s="33">
        <v>20000000</v>
      </c>
      <c r="L27" s="33"/>
    </row>
    <row r="28" spans="2:12" ht="21" customHeight="1">
      <c r="B28" s="46">
        <v>4</v>
      </c>
      <c r="C28" s="3" t="s">
        <v>6</v>
      </c>
      <c r="D28" s="3"/>
      <c r="F28" s="28"/>
      <c r="L28" s="30"/>
    </row>
    <row r="29" spans="2:12" ht="21" customHeight="1">
      <c r="C29" s="1" t="s">
        <v>64</v>
      </c>
      <c r="D29" s="3"/>
      <c r="J29" s="34"/>
      <c r="K29" s="33"/>
      <c r="L29" s="33"/>
    </row>
    <row r="30" spans="2:12" ht="21" customHeight="1">
      <c r="B30" s="2"/>
      <c r="C30" s="1" t="s">
        <v>194</v>
      </c>
      <c r="D30" s="3"/>
      <c r="J30" s="30"/>
      <c r="K30" s="33"/>
      <c r="L30" s="30"/>
    </row>
    <row r="31" spans="2:12" ht="21" customHeight="1">
      <c r="B31" s="2"/>
      <c r="C31" s="43" t="s">
        <v>65</v>
      </c>
      <c r="D31" s="3"/>
      <c r="J31" s="34"/>
      <c r="K31" s="33"/>
      <c r="L31" s="33"/>
    </row>
    <row r="32" spans="2:12" ht="21" customHeight="1">
      <c r="J32" s="34"/>
      <c r="K32" s="29"/>
      <c r="L32" s="20"/>
    </row>
    <row r="33" ht="21" customHeight="1"/>
    <row r="34" ht="21" customHeight="1"/>
  </sheetData>
  <mergeCells count="12">
    <mergeCell ref="B24:C24"/>
    <mergeCell ref="G24:H24"/>
    <mergeCell ref="B25:C25"/>
    <mergeCell ref="B26:C26"/>
    <mergeCell ref="G26:H26"/>
    <mergeCell ref="B23:D23"/>
    <mergeCell ref="G23:H23"/>
    <mergeCell ref="B4:G4"/>
    <mergeCell ref="G6:H6"/>
    <mergeCell ref="E16:G16"/>
    <mergeCell ref="E20:G20"/>
    <mergeCell ref="E21:G21"/>
  </mergeCells>
  <phoneticPr fontId="1"/>
  <pageMargins left="0.78740157480314965" right="0.78740157480314965" top="0.98425196850393704"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L37"/>
  <sheetViews>
    <sheetView zoomScaleNormal="100" workbookViewId="0"/>
  </sheetViews>
  <sheetFormatPr defaultRowHeight="24" customHeight="1"/>
  <cols>
    <col min="1" max="1" width="9" style="1"/>
    <col min="2" max="2" width="3.125" style="1" customWidth="1"/>
    <col min="3" max="3" width="23.625" style="1" customWidth="1"/>
    <col min="4" max="4" width="3.125" style="1" customWidth="1"/>
    <col min="5" max="6" width="12.625" style="1" customWidth="1"/>
    <col min="7" max="7" width="20.25" style="1" customWidth="1"/>
    <col min="8" max="9" width="3.125" style="1" customWidth="1"/>
    <col min="10" max="10" width="18.375" style="1" bestFit="1" customWidth="1"/>
    <col min="11" max="12" width="14.625" style="1" customWidth="1"/>
    <col min="13" max="16384" width="9" style="1"/>
  </cols>
  <sheetData>
    <row r="2" spans="2:11" ht="21" customHeight="1">
      <c r="B2" s="1" t="s">
        <v>133</v>
      </c>
    </row>
    <row r="3" spans="2:11" ht="21" customHeight="1"/>
    <row r="4" spans="2:11" ht="21" customHeight="1">
      <c r="B4" s="132" t="s">
        <v>132</v>
      </c>
      <c r="C4" s="132"/>
      <c r="D4" s="132"/>
      <c r="E4" s="132"/>
      <c r="F4" s="132"/>
      <c r="G4" s="132"/>
      <c r="H4" s="53"/>
    </row>
    <row r="5" spans="2:11" ht="21" customHeight="1"/>
    <row r="6" spans="2:11" ht="21" customHeight="1">
      <c r="G6" s="133" t="str">
        <f>+CONCATENATE(TEXT(K6, "ggg"), TEXT(K6, CONCATENATE(IF(LEN(TEXT(K6, "e"))=1, CHAR(32), ""), "e年")), TEXT(K6, CONCATENATE(IF(LEN(TEXT(K6, "m"))=1, CHAR(32), ""), "m月")), TEXT(K6, CONCATENATE(IF(LEN(TEXT(K6, "d"))=1, CHAR(32), ""), "d日")))</f>
        <v>令和 5年10月 1日</v>
      </c>
      <c r="H6" s="134"/>
      <c r="J6" s="32" t="s">
        <v>54</v>
      </c>
      <c r="K6" s="35">
        <v>45200</v>
      </c>
    </row>
    <row r="7" spans="2:11" ht="21" customHeight="1">
      <c r="F7" s="54"/>
      <c r="G7" s="55"/>
      <c r="H7" s="55"/>
      <c r="J7" s="32"/>
      <c r="K7" s="35"/>
    </row>
    <row r="8" spans="2:11" ht="21" customHeight="1">
      <c r="F8" s="47" t="s">
        <v>63</v>
      </c>
      <c r="G8" s="42"/>
      <c r="H8" s="42"/>
      <c r="J8" s="32"/>
      <c r="K8" s="35"/>
    </row>
    <row r="9" spans="2:11" ht="21" customHeight="1">
      <c r="F9" s="47" t="s">
        <v>62</v>
      </c>
      <c r="G9" s="42"/>
      <c r="H9" s="42"/>
      <c r="J9" s="32"/>
      <c r="K9" s="35"/>
    </row>
    <row r="10" spans="2:11" ht="21" customHeight="1">
      <c r="F10" s="47"/>
      <c r="G10" s="42"/>
      <c r="H10" s="42"/>
      <c r="J10" s="32"/>
      <c r="K10" s="35"/>
    </row>
    <row r="11" spans="2:11" ht="21" customHeight="1">
      <c r="F11" s="47" t="s">
        <v>67</v>
      </c>
      <c r="G11" s="42"/>
      <c r="H11" s="42"/>
      <c r="J11" s="32"/>
      <c r="K11" s="35"/>
    </row>
    <row r="12" spans="2:11" ht="21" customHeight="1"/>
    <row r="13" spans="2:11" ht="21" customHeight="1">
      <c r="B13" s="2" t="s">
        <v>0</v>
      </c>
      <c r="J13" s="1" t="s">
        <v>61</v>
      </c>
    </row>
    <row r="14" spans="2:11" ht="21" customHeight="1">
      <c r="B14" s="2" t="s">
        <v>31</v>
      </c>
    </row>
    <row r="15" spans="2:11" ht="21" customHeight="1"/>
    <row r="16" spans="2:11" ht="21" customHeight="1">
      <c r="C16" s="22" t="s">
        <v>1</v>
      </c>
      <c r="E16" s="135">
        <f>+E29</f>
        <v>16800000</v>
      </c>
      <c r="F16" s="135"/>
      <c r="G16" s="135"/>
      <c r="H16" s="48"/>
    </row>
    <row r="17" spans="2:12" ht="21" customHeight="1"/>
    <row r="18" spans="2:12" ht="21" customHeight="1">
      <c r="B18" s="2" t="s">
        <v>135</v>
      </c>
    </row>
    <row r="19" spans="2:12" ht="21" customHeight="1"/>
    <row r="20" spans="2:12" ht="21" customHeight="1">
      <c r="B20" s="46">
        <v>1</v>
      </c>
      <c r="C20" s="3" t="s">
        <v>3</v>
      </c>
      <c r="D20" s="3"/>
      <c r="E20" s="136" t="str">
        <f>+K20</f>
        <v>〇〇工事R5-1</v>
      </c>
      <c r="F20" s="137"/>
      <c r="G20" s="137"/>
      <c r="H20" s="56"/>
      <c r="J20" s="37" t="s">
        <v>3</v>
      </c>
      <c r="K20" s="36" t="s">
        <v>60</v>
      </c>
    </row>
    <row r="21" spans="2:12" ht="21" customHeight="1">
      <c r="B21" s="46">
        <v>2</v>
      </c>
      <c r="C21" s="3" t="s">
        <v>4</v>
      </c>
      <c r="D21" s="3"/>
      <c r="E21" s="138" t="str">
        <f>+CONCATENATE(TEXT(K21, "ggg"), TEXT(K21, CONCATENATE(IF(LEN(TEXT(K21, "e"))=1, CHAR(32), ""), "e年")), TEXT(K21, CONCATENATE(IF(LEN(TEXT(K21, "m"))=1, CHAR(32), ""), "m月")), TEXT(K21, CONCATENATE(IF(LEN(TEXT(K21, "d"))=1, CHAR(32), ""), "d日")))</f>
        <v>令和 5年 4月 1日</v>
      </c>
      <c r="F21" s="138"/>
      <c r="G21" s="138"/>
      <c r="H21" s="52"/>
      <c r="J21" s="37" t="s">
        <v>4</v>
      </c>
      <c r="K21" s="35">
        <v>45017</v>
      </c>
    </row>
    <row r="22" spans="2:12" ht="21" customHeight="1">
      <c r="B22" s="46">
        <v>3</v>
      </c>
      <c r="C22" s="3" t="s">
        <v>134</v>
      </c>
      <c r="D22" s="3"/>
      <c r="E22" s="138" t="str">
        <f>+CONCATENATE(TEXT(K22, "ggg"), TEXT(K22, CONCATENATE(IF(LEN(TEXT(K22, "e"))=1, CHAR(32), ""), "e年")), TEXT(K22, CONCATENATE(IF(LEN(TEXT(K22, "m"))=1, CHAR(32), ""), "m月")), TEXT(K22, CONCATENATE(IF(LEN(TEXT(K22, "d"))=1, CHAR(32), ""), "d日")))</f>
        <v>令和 5年 9月30日</v>
      </c>
      <c r="F22" s="138"/>
      <c r="G22" s="138"/>
      <c r="H22" s="52"/>
      <c r="J22" s="38" t="s">
        <v>52</v>
      </c>
      <c r="K22" s="35">
        <v>45199</v>
      </c>
    </row>
    <row r="23" spans="2:12" ht="21" customHeight="1">
      <c r="B23" s="46">
        <v>4</v>
      </c>
      <c r="C23" s="3" t="s">
        <v>51</v>
      </c>
      <c r="D23" s="3"/>
      <c r="J23" s="30" t="s">
        <v>41</v>
      </c>
      <c r="K23" s="31">
        <v>0.1</v>
      </c>
      <c r="L23" s="30">
        <f>+K23/(1+K23)</f>
        <v>9.0909090909090912E-2</v>
      </c>
    </row>
    <row r="24" spans="2:12" ht="18" customHeight="1">
      <c r="B24" s="139" t="s">
        <v>21</v>
      </c>
      <c r="C24" s="140"/>
      <c r="D24" s="141"/>
      <c r="E24" s="51" t="s">
        <v>58</v>
      </c>
      <c r="F24" s="51" t="s">
        <v>39</v>
      </c>
      <c r="G24" s="142" t="s">
        <v>38</v>
      </c>
      <c r="H24" s="143"/>
      <c r="J24" s="32" t="s">
        <v>21</v>
      </c>
      <c r="K24" s="32" t="s">
        <v>42</v>
      </c>
      <c r="L24" s="32" t="s">
        <v>43</v>
      </c>
    </row>
    <row r="25" spans="2:12" ht="18" customHeight="1">
      <c r="B25" s="124" t="s">
        <v>5</v>
      </c>
      <c r="C25" s="125"/>
      <c r="D25" s="44" t="s">
        <v>46</v>
      </c>
      <c r="E25" s="45">
        <f>+K25</f>
        <v>100000000</v>
      </c>
      <c r="F25" s="45">
        <f>+IF(K26&gt;0, K26, L26)</f>
        <v>9090909</v>
      </c>
      <c r="G25" s="126"/>
      <c r="H25" s="127"/>
      <c r="J25" s="30" t="s">
        <v>5</v>
      </c>
      <c r="K25" s="33">
        <v>100000000</v>
      </c>
      <c r="L25" s="30" t="s">
        <v>44</v>
      </c>
    </row>
    <row r="26" spans="2:12" ht="18" customHeight="1">
      <c r="B26" s="144" t="s">
        <v>66</v>
      </c>
      <c r="C26" s="145"/>
      <c r="D26" s="26" t="s">
        <v>47</v>
      </c>
      <c r="E26" s="24">
        <f>+K27</f>
        <v>0</v>
      </c>
      <c r="F26" s="24">
        <f>+IF(K28&gt;0, K28, L28)</f>
        <v>0</v>
      </c>
      <c r="G26" s="148" t="s">
        <v>55</v>
      </c>
      <c r="H26" s="149"/>
      <c r="J26" s="34" t="s">
        <v>37</v>
      </c>
      <c r="K26" s="30"/>
      <c r="L26" s="33">
        <f>+INT(K25*$L$23)</f>
        <v>9090909</v>
      </c>
    </row>
    <row r="27" spans="2:12" ht="18" customHeight="1">
      <c r="B27" s="144" t="s">
        <v>120</v>
      </c>
      <c r="C27" s="145"/>
      <c r="D27" s="26" t="s">
        <v>48</v>
      </c>
      <c r="E27" s="24">
        <f>+K29</f>
        <v>50400000</v>
      </c>
      <c r="F27" s="24">
        <f>+L30</f>
        <v>4581818</v>
      </c>
      <c r="G27" s="148" t="str">
        <f>+CONCATENATE(J23, TEXT(K23, "0%"))</f>
        <v>税率10%</v>
      </c>
      <c r="H27" s="149"/>
      <c r="J27" s="30" t="s">
        <v>36</v>
      </c>
      <c r="K27" s="33">
        <v>0</v>
      </c>
      <c r="L27" s="30"/>
    </row>
    <row r="28" spans="2:12" ht="18" customHeight="1">
      <c r="B28" s="144" t="s">
        <v>45</v>
      </c>
      <c r="C28" s="145"/>
      <c r="D28" s="26" t="s">
        <v>49</v>
      </c>
      <c r="E28" s="24">
        <f>+K31</f>
        <v>33600000</v>
      </c>
      <c r="F28" s="24" t="s">
        <v>44</v>
      </c>
      <c r="G28" s="148"/>
      <c r="H28" s="149"/>
      <c r="J28" s="34" t="s">
        <v>37</v>
      </c>
      <c r="K28" s="33"/>
      <c r="L28" s="33">
        <f>+ROUNDUP(K27*$L$23,)</f>
        <v>0</v>
      </c>
    </row>
    <row r="29" spans="2:12" ht="18" customHeight="1">
      <c r="B29" s="128" t="s">
        <v>56</v>
      </c>
      <c r="C29" s="129"/>
      <c r="D29" s="27" t="s">
        <v>50</v>
      </c>
      <c r="E29" s="25">
        <f>+E27-E28</f>
        <v>16800000</v>
      </c>
      <c r="F29" s="25" t="s">
        <v>44</v>
      </c>
      <c r="G29" s="130"/>
      <c r="H29" s="131"/>
      <c r="J29" s="30" t="s">
        <v>40</v>
      </c>
      <c r="K29" s="33">
        <v>50400000</v>
      </c>
      <c r="L29" s="30"/>
    </row>
    <row r="30" spans="2:12" ht="21" customHeight="1">
      <c r="B30" s="46">
        <v>5</v>
      </c>
      <c r="C30" s="3" t="s">
        <v>6</v>
      </c>
      <c r="D30" s="3"/>
      <c r="F30" s="28" t="str">
        <f>+K32</f>
        <v/>
      </c>
      <c r="J30" s="34" t="s">
        <v>39</v>
      </c>
      <c r="K30" s="33"/>
      <c r="L30" s="33">
        <f>+ROUNDDOWN(K29*$L$23,)</f>
        <v>4581818</v>
      </c>
    </row>
    <row r="31" spans="2:12" ht="21" customHeight="1">
      <c r="C31" s="1" t="s">
        <v>64</v>
      </c>
      <c r="D31" s="3"/>
      <c r="J31" s="34" t="s">
        <v>45</v>
      </c>
      <c r="K31" s="33">
        <v>33600000</v>
      </c>
      <c r="L31" s="33"/>
    </row>
    <row r="32" spans="2:12" ht="21" customHeight="1">
      <c r="B32" s="2"/>
      <c r="C32" s="1" t="s">
        <v>194</v>
      </c>
      <c r="D32" s="3"/>
      <c r="J32" s="34" t="s">
        <v>57</v>
      </c>
      <c r="K32" s="29" t="str">
        <f>+IF(INT(E27*L23-F27)&lt;=1, "", "#ERR# 消費税額計算エラー!!")</f>
        <v/>
      </c>
      <c r="L32" s="20"/>
    </row>
    <row r="33" spans="2:12" ht="21" customHeight="1">
      <c r="B33" s="2"/>
      <c r="C33" s="43" t="s">
        <v>65</v>
      </c>
      <c r="D33" s="3"/>
      <c r="L33" s="20"/>
    </row>
    <row r="34" spans="2:12" ht="21" customHeight="1"/>
    <row r="35" spans="2:12" ht="21" customHeight="1"/>
    <row r="36" spans="2:12" ht="21" customHeight="1"/>
    <row r="37" spans="2:12" ht="21" customHeight="1"/>
  </sheetData>
  <mergeCells count="18">
    <mergeCell ref="B27:C27"/>
    <mergeCell ref="G27:H27"/>
    <mergeCell ref="B28:C28"/>
    <mergeCell ref="G28:H28"/>
    <mergeCell ref="B29:C29"/>
    <mergeCell ref="G29:H29"/>
    <mergeCell ref="B24:D24"/>
    <mergeCell ref="G24:H24"/>
    <mergeCell ref="B25:C25"/>
    <mergeCell ref="G25:H25"/>
    <mergeCell ref="B26:C26"/>
    <mergeCell ref="G26:H26"/>
    <mergeCell ref="E22:G22"/>
    <mergeCell ref="B4:G4"/>
    <mergeCell ref="G6:H6"/>
    <mergeCell ref="E16:G16"/>
    <mergeCell ref="E20:G20"/>
    <mergeCell ref="E21:G21"/>
  </mergeCells>
  <phoneticPr fontId="1"/>
  <pageMargins left="0.78740157480314965" right="0.78740157480314965" top="0.98425196850393704"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2:L37"/>
  <sheetViews>
    <sheetView zoomScaleNormal="100" workbookViewId="0"/>
  </sheetViews>
  <sheetFormatPr defaultRowHeight="24" customHeight="1"/>
  <cols>
    <col min="1" max="1" width="9" style="1"/>
    <col min="2" max="2" width="3.125" style="1" customWidth="1"/>
    <col min="3" max="3" width="23.625" style="1" customWidth="1"/>
    <col min="4" max="4" width="3.125" style="1" customWidth="1"/>
    <col min="5" max="6" width="12.625" style="1" customWidth="1"/>
    <col min="7" max="7" width="20.25" style="1" customWidth="1"/>
    <col min="8" max="9" width="3.125" style="1" customWidth="1"/>
    <col min="10" max="10" width="18.375" style="1" bestFit="1" customWidth="1"/>
    <col min="11" max="12" width="14.625" style="1" customWidth="1"/>
    <col min="13" max="16384" width="9" style="1"/>
  </cols>
  <sheetData>
    <row r="2" spans="2:11" ht="21" customHeight="1">
      <c r="B2" s="1" t="s">
        <v>59</v>
      </c>
    </row>
    <row r="3" spans="2:11" ht="21" customHeight="1"/>
    <row r="4" spans="2:11" ht="21" customHeight="1">
      <c r="B4" s="132" t="s">
        <v>53</v>
      </c>
      <c r="C4" s="132"/>
      <c r="D4" s="132"/>
      <c r="E4" s="132"/>
      <c r="F4" s="132"/>
      <c r="G4" s="132"/>
      <c r="H4" s="53"/>
    </row>
    <row r="5" spans="2:11" ht="21" customHeight="1"/>
    <row r="6" spans="2:11" ht="21" customHeight="1">
      <c r="G6" s="133" t="str">
        <f>+CONCATENATE(TEXT(K6, "ggg"), TEXT(K6, CONCATENATE(IF(LEN(TEXT(K6, "e"))=1, CHAR(32), ""), "e年")), TEXT(K6, CONCATENATE(IF(LEN(TEXT(K6, "m"))=1, CHAR(32), ""), "m月")), TEXT(K6, CONCATENATE(IF(LEN(TEXT(K6, "d"))=1, CHAR(32), ""), "d日")))</f>
        <v>令和 5年12月 1日</v>
      </c>
      <c r="H6" s="134"/>
      <c r="J6" s="32" t="s">
        <v>54</v>
      </c>
      <c r="K6" s="35">
        <v>45261</v>
      </c>
    </row>
    <row r="7" spans="2:11" ht="21" customHeight="1">
      <c r="F7" s="54"/>
      <c r="G7" s="55"/>
      <c r="H7" s="55"/>
      <c r="J7" s="32"/>
      <c r="K7" s="35"/>
    </row>
    <row r="8" spans="2:11" ht="21" customHeight="1">
      <c r="F8" s="47" t="s">
        <v>63</v>
      </c>
      <c r="G8" s="42"/>
      <c r="H8" s="42"/>
      <c r="J8" s="32"/>
      <c r="K8" s="35"/>
    </row>
    <row r="9" spans="2:11" ht="21" customHeight="1">
      <c r="F9" s="47" t="s">
        <v>62</v>
      </c>
      <c r="G9" s="42"/>
      <c r="H9" s="42"/>
      <c r="J9" s="32"/>
      <c r="K9" s="35"/>
    </row>
    <row r="10" spans="2:11" ht="21" customHeight="1">
      <c r="F10" s="47"/>
      <c r="G10" s="42"/>
      <c r="H10" s="42"/>
      <c r="J10" s="32"/>
      <c r="K10" s="35"/>
    </row>
    <row r="11" spans="2:11" ht="21" customHeight="1">
      <c r="F11" s="47" t="s">
        <v>67</v>
      </c>
      <c r="G11" s="42"/>
      <c r="H11" s="42"/>
      <c r="J11" s="32"/>
      <c r="K11" s="35"/>
    </row>
    <row r="12" spans="2:11" ht="21" customHeight="1"/>
    <row r="13" spans="2:11" ht="21" customHeight="1">
      <c r="B13" s="2" t="s">
        <v>0</v>
      </c>
      <c r="J13" s="1" t="s">
        <v>61</v>
      </c>
    </row>
    <row r="14" spans="2:11" ht="21" customHeight="1">
      <c r="B14" s="2" t="s">
        <v>31</v>
      </c>
    </row>
    <row r="15" spans="2:11" ht="21" customHeight="1"/>
    <row r="16" spans="2:11" ht="21" customHeight="1">
      <c r="C16" s="22" t="s">
        <v>1</v>
      </c>
      <c r="E16" s="135">
        <f>+E29</f>
        <v>23200000</v>
      </c>
      <c r="F16" s="135"/>
      <c r="G16" s="135"/>
      <c r="H16" s="48"/>
    </row>
    <row r="17" spans="2:12" ht="21" customHeight="1"/>
    <row r="18" spans="2:12" ht="21" customHeight="1">
      <c r="B18" s="2" t="s">
        <v>195</v>
      </c>
    </row>
    <row r="19" spans="2:12" ht="21" customHeight="1"/>
    <row r="20" spans="2:12" ht="21" customHeight="1">
      <c r="B20" s="46">
        <v>1</v>
      </c>
      <c r="C20" s="3" t="s">
        <v>3</v>
      </c>
      <c r="D20" s="3"/>
      <c r="E20" s="136" t="str">
        <f>+K20</f>
        <v>〇〇工事R5-1</v>
      </c>
      <c r="F20" s="137"/>
      <c r="G20" s="137"/>
      <c r="H20" s="56"/>
      <c r="J20" s="37" t="s">
        <v>3</v>
      </c>
      <c r="K20" s="36" t="s">
        <v>60</v>
      </c>
    </row>
    <row r="21" spans="2:12" ht="21" customHeight="1">
      <c r="B21" s="46">
        <v>2</v>
      </c>
      <c r="C21" s="3" t="s">
        <v>4</v>
      </c>
      <c r="D21" s="3"/>
      <c r="E21" s="138" t="str">
        <f>+CONCATENATE(TEXT(K21, "ggg"), TEXT(K21, CONCATENATE(IF(LEN(TEXT(K21, "e"))=1, CHAR(32), ""), "e年")), TEXT(K21, CONCATENATE(IF(LEN(TEXT(K21, "m"))=1, CHAR(32), ""), "m月")), TEXT(K21, CONCATENATE(IF(LEN(TEXT(K21, "d"))=1, CHAR(32), ""), "d日")))</f>
        <v>令和 5年 4月 1日</v>
      </c>
      <c r="F21" s="138"/>
      <c r="G21" s="138"/>
      <c r="H21" s="52"/>
      <c r="J21" s="37" t="s">
        <v>4</v>
      </c>
      <c r="K21" s="35">
        <v>45017</v>
      </c>
    </row>
    <row r="22" spans="2:12" ht="21" customHeight="1">
      <c r="B22" s="46">
        <v>3</v>
      </c>
      <c r="C22" s="3" t="s">
        <v>52</v>
      </c>
      <c r="D22" s="3"/>
      <c r="E22" s="138" t="str">
        <f>+CONCATENATE(TEXT(K22, "ggg"), TEXT(K22, CONCATENATE(IF(LEN(TEXT(K22, "e"))=1, CHAR(32), ""), "e年")), TEXT(K22, CONCATENATE(IF(LEN(TEXT(K22, "m"))=1, CHAR(32), ""), "m月")), TEXT(K22, CONCATENATE(IF(LEN(TEXT(K22, "d"))=1, CHAR(32), ""), "d日")))</f>
        <v>令和 5年11月30日</v>
      </c>
      <c r="F22" s="138"/>
      <c r="G22" s="138"/>
      <c r="H22" s="52"/>
      <c r="J22" s="38" t="s">
        <v>52</v>
      </c>
      <c r="K22" s="35">
        <v>45260</v>
      </c>
    </row>
    <row r="23" spans="2:12" ht="21" customHeight="1">
      <c r="B23" s="46">
        <v>4</v>
      </c>
      <c r="C23" s="3" t="s">
        <v>51</v>
      </c>
      <c r="D23" s="3"/>
      <c r="J23" s="30" t="s">
        <v>41</v>
      </c>
      <c r="K23" s="31">
        <v>0.1</v>
      </c>
      <c r="L23" s="30">
        <f>+K23/(1+K23)</f>
        <v>9.0909090909090912E-2</v>
      </c>
    </row>
    <row r="24" spans="2:12" ht="18" customHeight="1">
      <c r="B24" s="139" t="s">
        <v>21</v>
      </c>
      <c r="C24" s="140"/>
      <c r="D24" s="141"/>
      <c r="E24" s="51" t="s">
        <v>58</v>
      </c>
      <c r="F24" s="51" t="s">
        <v>39</v>
      </c>
      <c r="G24" s="142" t="s">
        <v>38</v>
      </c>
      <c r="H24" s="143"/>
      <c r="J24" s="32" t="s">
        <v>21</v>
      </c>
      <c r="K24" s="32" t="s">
        <v>42</v>
      </c>
      <c r="L24" s="32" t="s">
        <v>43</v>
      </c>
    </row>
    <row r="25" spans="2:12" ht="18" customHeight="1">
      <c r="B25" s="124" t="s">
        <v>5</v>
      </c>
      <c r="C25" s="125"/>
      <c r="D25" s="44" t="s">
        <v>46</v>
      </c>
      <c r="E25" s="45">
        <f>+K25</f>
        <v>100000000</v>
      </c>
      <c r="F25" s="45">
        <f>+IF(K26&gt;0, K26, L26)</f>
        <v>9090909</v>
      </c>
      <c r="G25" s="126"/>
      <c r="H25" s="127"/>
      <c r="J25" s="30" t="s">
        <v>5</v>
      </c>
      <c r="K25" s="33">
        <v>100000000</v>
      </c>
      <c r="L25" s="30" t="s">
        <v>44</v>
      </c>
    </row>
    <row r="26" spans="2:12" ht="18" customHeight="1">
      <c r="B26" s="144" t="s">
        <v>66</v>
      </c>
      <c r="C26" s="145"/>
      <c r="D26" s="26" t="s">
        <v>47</v>
      </c>
      <c r="E26" s="24">
        <f>+K27</f>
        <v>50400000</v>
      </c>
      <c r="F26" s="24">
        <f>+IF(K28&gt;0, K28, L28)</f>
        <v>4581818</v>
      </c>
      <c r="G26" s="148" t="s">
        <v>55</v>
      </c>
      <c r="H26" s="149"/>
      <c r="J26" s="34" t="s">
        <v>37</v>
      </c>
      <c r="K26" s="30"/>
      <c r="L26" s="33">
        <f>+INT(K25*$L$23)</f>
        <v>9090909</v>
      </c>
    </row>
    <row r="27" spans="2:12" ht="18" customHeight="1">
      <c r="B27" s="144" t="s">
        <v>120</v>
      </c>
      <c r="C27" s="145"/>
      <c r="D27" s="26" t="s">
        <v>48</v>
      </c>
      <c r="E27" s="24">
        <f>+E25-E26</f>
        <v>49600000</v>
      </c>
      <c r="F27" s="24">
        <f>+L30</f>
        <v>4509091</v>
      </c>
      <c r="G27" s="148" t="str">
        <f>+CONCATENATE(J23, TEXT(K23, "0%"))</f>
        <v>税率10%</v>
      </c>
      <c r="H27" s="149"/>
      <c r="J27" s="30" t="s">
        <v>36</v>
      </c>
      <c r="K27" s="33">
        <v>50400000</v>
      </c>
      <c r="L27" s="30"/>
    </row>
    <row r="28" spans="2:12" ht="18" customHeight="1">
      <c r="B28" s="144" t="s">
        <v>45</v>
      </c>
      <c r="C28" s="145"/>
      <c r="D28" s="26" t="s">
        <v>49</v>
      </c>
      <c r="E28" s="24">
        <f>+K31</f>
        <v>26400000</v>
      </c>
      <c r="F28" s="24" t="s">
        <v>44</v>
      </c>
      <c r="G28" s="148"/>
      <c r="H28" s="149"/>
      <c r="J28" s="34" t="s">
        <v>37</v>
      </c>
      <c r="K28" s="33"/>
      <c r="L28" s="33">
        <f>+ROUNDDOWN(K27*$L$23,)</f>
        <v>4581818</v>
      </c>
    </row>
    <row r="29" spans="2:12" ht="18" customHeight="1">
      <c r="B29" s="128" t="s">
        <v>56</v>
      </c>
      <c r="C29" s="129"/>
      <c r="D29" s="27" t="s">
        <v>50</v>
      </c>
      <c r="E29" s="25">
        <f>+E27-E28</f>
        <v>23200000</v>
      </c>
      <c r="F29" s="25" t="s">
        <v>44</v>
      </c>
      <c r="G29" s="130"/>
      <c r="H29" s="131"/>
      <c r="J29" s="30" t="s">
        <v>40</v>
      </c>
      <c r="K29" s="33">
        <v>49600000</v>
      </c>
      <c r="L29" s="30"/>
    </row>
    <row r="30" spans="2:12" ht="21" customHeight="1">
      <c r="B30" s="46">
        <v>5</v>
      </c>
      <c r="C30" s="3" t="s">
        <v>6</v>
      </c>
      <c r="D30" s="3"/>
      <c r="F30" s="28" t="str">
        <f>+K32</f>
        <v/>
      </c>
      <c r="J30" s="34" t="s">
        <v>37</v>
      </c>
      <c r="K30" s="33"/>
      <c r="L30" s="33">
        <f>+ROUNDUP(K29*$L$23,)</f>
        <v>4509091</v>
      </c>
    </row>
    <row r="31" spans="2:12" ht="21" customHeight="1">
      <c r="C31" s="1" t="s">
        <v>64</v>
      </c>
      <c r="D31" s="3"/>
      <c r="J31" s="34" t="s">
        <v>45</v>
      </c>
      <c r="K31" s="33">
        <f>60000000-33600000</f>
        <v>26400000</v>
      </c>
      <c r="L31" s="33"/>
    </row>
    <row r="32" spans="2:12" ht="21" customHeight="1">
      <c r="B32" s="2"/>
      <c r="C32" s="1" t="s">
        <v>194</v>
      </c>
      <c r="D32" s="3"/>
      <c r="J32" s="34" t="s">
        <v>57</v>
      </c>
      <c r="K32" s="29" t="str">
        <f>+IF(INT(E27*L23-F27)&lt;=1, "", "#ERR# 消費税額計算エラー!!")</f>
        <v/>
      </c>
      <c r="L32" s="20"/>
    </row>
    <row r="33" spans="2:10" ht="21" customHeight="1">
      <c r="B33" s="2"/>
      <c r="C33" s="43" t="s">
        <v>65</v>
      </c>
      <c r="D33" s="3"/>
    </row>
    <row r="34" spans="2:10" ht="21" customHeight="1">
      <c r="J34" s="20"/>
    </row>
    <row r="35" spans="2:10" ht="21" customHeight="1">
      <c r="J35" s="20"/>
    </row>
    <row r="36" spans="2:10" ht="21" customHeight="1"/>
    <row r="37" spans="2:10" ht="21" customHeight="1"/>
  </sheetData>
  <mergeCells count="18">
    <mergeCell ref="B27:C27"/>
    <mergeCell ref="G27:H27"/>
    <mergeCell ref="B28:C28"/>
    <mergeCell ref="G28:H28"/>
    <mergeCell ref="B29:C29"/>
    <mergeCell ref="G29:H29"/>
    <mergeCell ref="B24:D24"/>
    <mergeCell ref="G24:H24"/>
    <mergeCell ref="B25:C25"/>
    <mergeCell ref="G25:H25"/>
    <mergeCell ref="B26:C26"/>
    <mergeCell ref="G26:H26"/>
    <mergeCell ref="E22:G22"/>
    <mergeCell ref="B4:G4"/>
    <mergeCell ref="G6:H6"/>
    <mergeCell ref="E16:G16"/>
    <mergeCell ref="E20:G20"/>
    <mergeCell ref="E21:G21"/>
  </mergeCells>
  <phoneticPr fontId="1"/>
  <pageMargins left="0.78740157480314965" right="0.78740157480314965" top="0.98425196850393704"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11"/>
  <sheetViews>
    <sheetView showGridLines="0" workbookViewId="0"/>
  </sheetViews>
  <sheetFormatPr defaultRowHeight="18.75"/>
  <cols>
    <col min="1" max="1" width="22.625" bestFit="1" customWidth="1"/>
    <col min="2" max="2" width="31.75" bestFit="1" customWidth="1"/>
    <col min="3" max="3" width="20.625" customWidth="1"/>
  </cols>
  <sheetData>
    <row r="1" spans="1:3">
      <c r="A1" s="50" t="s">
        <v>136</v>
      </c>
    </row>
    <row r="2" spans="1:3">
      <c r="A2" s="80" t="s">
        <v>21</v>
      </c>
      <c r="B2" s="81" t="s">
        <v>27</v>
      </c>
      <c r="C2" s="82" t="s">
        <v>38</v>
      </c>
    </row>
    <row r="3" spans="1:3">
      <c r="A3" s="79" t="s">
        <v>68</v>
      </c>
      <c r="B3" s="77" t="s">
        <v>78</v>
      </c>
    </row>
    <row r="4" spans="1:3">
      <c r="A4" s="79" t="s">
        <v>69</v>
      </c>
      <c r="B4" s="77" t="s">
        <v>80</v>
      </c>
    </row>
    <row r="5" spans="1:3">
      <c r="A5" s="79" t="s">
        <v>70</v>
      </c>
      <c r="B5" s="77" t="s">
        <v>79</v>
      </c>
    </row>
    <row r="6" spans="1:3">
      <c r="A6" s="79" t="s">
        <v>72</v>
      </c>
      <c r="B6" s="77" t="s">
        <v>81</v>
      </c>
    </row>
    <row r="7" spans="1:3">
      <c r="A7" s="79" t="s">
        <v>75</v>
      </c>
      <c r="B7" s="77" t="s">
        <v>82</v>
      </c>
    </row>
    <row r="8" spans="1:3">
      <c r="A8" s="79" t="s">
        <v>177</v>
      </c>
      <c r="B8" s="108">
        <v>45017</v>
      </c>
    </row>
    <row r="9" spans="1:3">
      <c r="A9" s="79" t="s">
        <v>71</v>
      </c>
      <c r="B9" s="78" t="s">
        <v>73</v>
      </c>
    </row>
    <row r="10" spans="1:3">
      <c r="A10" s="79" t="s">
        <v>76</v>
      </c>
      <c r="B10" s="78" t="s">
        <v>77</v>
      </c>
    </row>
    <row r="11" spans="1:3">
      <c r="A11" s="49"/>
    </row>
  </sheetData>
  <phoneticPr fontId="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L22"/>
  <sheetViews>
    <sheetView zoomScaleNormal="100" workbookViewId="0"/>
  </sheetViews>
  <sheetFormatPr defaultRowHeight="21" customHeight="1"/>
  <cols>
    <col min="1" max="1" width="21.625" customWidth="1"/>
    <col min="2" max="2" width="12.625" customWidth="1"/>
    <col min="3" max="4" width="40.625" customWidth="1"/>
    <col min="5" max="5" width="28.625" customWidth="1"/>
    <col min="6" max="6" width="40.625" customWidth="1"/>
    <col min="7" max="7" width="16.625" customWidth="1"/>
    <col min="8" max="9" width="12.625" customWidth="1"/>
    <col min="10" max="10" width="16.625" customWidth="1"/>
    <col min="11" max="12" width="12.625" customWidth="1"/>
  </cols>
  <sheetData>
    <row r="1" spans="1:12" ht="21" customHeight="1">
      <c r="A1" s="50" t="s">
        <v>15</v>
      </c>
    </row>
    <row r="2" spans="1:12" ht="21" customHeight="1">
      <c r="A2" s="83" t="s">
        <v>21</v>
      </c>
      <c r="B2" s="84" t="s">
        <v>22</v>
      </c>
      <c r="C2" s="84" t="s">
        <v>32</v>
      </c>
      <c r="D2" s="84" t="s">
        <v>33</v>
      </c>
      <c r="E2" s="85" t="s">
        <v>28</v>
      </c>
      <c r="F2" s="84" t="s">
        <v>27</v>
      </c>
    </row>
    <row r="3" spans="1:12" ht="21" customHeight="1">
      <c r="A3" s="10" t="s">
        <v>7</v>
      </c>
      <c r="B3" s="11" t="s">
        <v>23</v>
      </c>
      <c r="C3" s="113" t="s">
        <v>192</v>
      </c>
      <c r="D3" s="113" t="s">
        <v>193</v>
      </c>
      <c r="E3" s="114"/>
      <c r="F3" s="11" t="str">
        <f>+C3</f>
        <v>〇〇銀行</v>
      </c>
      <c r="G3" s="9"/>
    </row>
    <row r="4" spans="1:12" ht="21" customHeight="1">
      <c r="A4" s="12" t="s">
        <v>16</v>
      </c>
      <c r="B4" s="13" t="s">
        <v>24</v>
      </c>
      <c r="C4" s="115">
        <v>1</v>
      </c>
      <c r="D4" s="115">
        <v>2</v>
      </c>
      <c r="E4" s="116"/>
      <c r="F4" s="14">
        <f t="shared" ref="F4:F10" si="0">+C4</f>
        <v>1</v>
      </c>
      <c r="G4" s="9"/>
    </row>
    <row r="5" spans="1:12" ht="21" customHeight="1">
      <c r="A5" s="12" t="s">
        <v>17</v>
      </c>
      <c r="B5" s="13" t="s">
        <v>23</v>
      </c>
      <c r="C5" s="117" t="s">
        <v>179</v>
      </c>
      <c r="D5" s="117" t="s">
        <v>183</v>
      </c>
      <c r="E5" s="116"/>
      <c r="F5" s="13" t="str">
        <f t="shared" si="0"/>
        <v>△△支店</v>
      </c>
      <c r="G5" s="9"/>
    </row>
    <row r="6" spans="1:12" ht="21" customHeight="1">
      <c r="A6" s="12" t="s">
        <v>18</v>
      </c>
      <c r="B6" s="13" t="s">
        <v>24</v>
      </c>
      <c r="C6" s="118">
        <v>123</v>
      </c>
      <c r="D6" s="118">
        <v>456</v>
      </c>
      <c r="E6" s="116"/>
      <c r="F6" s="15">
        <f t="shared" si="0"/>
        <v>123</v>
      </c>
      <c r="G6" s="9"/>
    </row>
    <row r="7" spans="1:12" ht="21" customHeight="1">
      <c r="A7" s="12" t="s">
        <v>8</v>
      </c>
      <c r="B7" s="13" t="s">
        <v>25</v>
      </c>
      <c r="C7" s="117" t="s">
        <v>181</v>
      </c>
      <c r="D7" s="117" t="s">
        <v>180</v>
      </c>
      <c r="E7" s="119" t="s">
        <v>30</v>
      </c>
      <c r="F7" s="13" t="str">
        <f t="shared" si="0"/>
        <v xml:space="preserve">当座 </v>
      </c>
      <c r="G7" s="9"/>
    </row>
    <row r="8" spans="1:12" ht="21" customHeight="1">
      <c r="A8" s="12" t="s">
        <v>12</v>
      </c>
      <c r="B8" s="13" t="s">
        <v>24</v>
      </c>
      <c r="C8" s="120">
        <v>1234567</v>
      </c>
      <c r="D8" s="120">
        <v>7654321</v>
      </c>
      <c r="E8" s="116"/>
      <c r="F8" s="16">
        <f t="shared" si="0"/>
        <v>1234567</v>
      </c>
      <c r="G8" s="9"/>
    </row>
    <row r="9" spans="1:12" ht="21" customHeight="1">
      <c r="A9" s="17" t="s">
        <v>19</v>
      </c>
      <c r="B9" s="13" t="s">
        <v>23</v>
      </c>
      <c r="C9" s="117" t="s">
        <v>182</v>
      </c>
      <c r="D9" s="117" t="s">
        <v>184</v>
      </c>
      <c r="E9" s="116"/>
      <c r="F9" s="13" t="str">
        <f t="shared" si="0"/>
        <v>須ケ口建設株式会社　代表取締役　清須　太郎</v>
      </c>
      <c r="G9" s="9"/>
    </row>
    <row r="10" spans="1:12" ht="21" customHeight="1">
      <c r="A10" s="18" t="s">
        <v>20</v>
      </c>
      <c r="B10" s="19" t="s">
        <v>26</v>
      </c>
      <c r="C10" s="121" t="s">
        <v>194</v>
      </c>
      <c r="D10" s="121" t="s">
        <v>185</v>
      </c>
      <c r="E10" s="122"/>
      <c r="F10" s="19" t="str">
        <f t="shared" si="0"/>
        <v>ｽｶｸﾞﾁｹﾝｾﾂ(ｶ ﾀﾞｲﾋｮｳﾄﾘｼﾏﾘﾔｸ ｷﾖｽ ﾀﾛｳ</v>
      </c>
      <c r="G10" s="9"/>
    </row>
    <row r="15" spans="1:12" ht="21" customHeight="1">
      <c r="G15" s="166" t="s">
        <v>7</v>
      </c>
      <c r="H15" s="167"/>
      <c r="I15" s="167"/>
      <c r="J15" s="168" t="s">
        <v>9</v>
      </c>
      <c r="K15" s="167"/>
      <c r="L15" s="169"/>
    </row>
    <row r="16" spans="1:12" ht="27" customHeight="1">
      <c r="G16" s="165" t="str">
        <f>+IF(LEN(F3)&gt;0, F3, "")</f>
        <v>〇〇銀行</v>
      </c>
      <c r="H16" s="164"/>
      <c r="I16" s="155" t="str">
        <f>+IF(LEN(F3)&gt;0, "", CONCATENATE("□ 銀　　行", CHAR(10), "□ 信用金庫", CHAR(10), "□ 農　　協"))</f>
        <v/>
      </c>
      <c r="J16" s="163" t="str">
        <f>+IF(LEN(F5)&gt;0, F5, "")</f>
        <v>△△支店</v>
      </c>
      <c r="K16" s="164"/>
      <c r="L16" s="157" t="str">
        <f>+IF(LEN(F5)&gt;0, "", CONCATENATE("□ 本　　店", CHAR(10), "□ 支　　店"))</f>
        <v/>
      </c>
    </row>
    <row r="17" spans="7:12" ht="18" customHeight="1">
      <c r="G17" s="171" t="str">
        <f>+CONCATENATE("（コード：", IF(F4&gt;0, TEXT(F4, "0000"), ""), REPT(CHAR(32), IF(F4&gt;0, 11, 15)), "）")</f>
        <v>（コード：0001           ）</v>
      </c>
      <c r="H17" s="172"/>
      <c r="I17" s="156"/>
      <c r="J17" s="173" t="str">
        <f>+CONCATENATE("（コード：", IF(F6&gt;0, TEXT(F6, "000"), ""), REPT(CHAR(32), IF(F6&gt;0, 11, 15)), "）")</f>
        <v>（コード：123           ）</v>
      </c>
      <c r="K17" s="174"/>
      <c r="L17" s="158"/>
    </row>
    <row r="18" spans="7:12" ht="45" customHeight="1">
      <c r="G18" s="4" t="s">
        <v>8</v>
      </c>
      <c r="H18" s="170" t="str">
        <f>+IF(LEN(F7)&gt;0, F7, CONCATENATE("□ 普　通", CHAR(10), "□ 当　座", CHAR(10), "□ その他（　　　　　）"))</f>
        <v xml:space="preserve">当座 </v>
      </c>
      <c r="I18" s="170"/>
      <c r="J18" s="5" t="s">
        <v>13</v>
      </c>
      <c r="K18" s="161">
        <f>+IF(F8&gt;0, F8, "")</f>
        <v>1234567</v>
      </c>
      <c r="L18" s="162"/>
    </row>
    <row r="19" spans="7:12" ht="24" customHeight="1">
      <c r="G19" s="6" t="s">
        <v>29</v>
      </c>
      <c r="H19" s="159" t="str">
        <f>+IF(LEN(F10)&gt;0, F10, "")</f>
        <v>ｽｶｸﾞﾁｹﾝｾﾂ(ｶ ﾀﾞｲﾋｮｳﾄﾘｼﾏﾘﾔｸ ｷﾖｽ ﾀﾛｳ</v>
      </c>
      <c r="I19" s="159"/>
      <c r="J19" s="159"/>
      <c r="K19" s="159"/>
      <c r="L19" s="160"/>
    </row>
    <row r="20" spans="7:12" ht="21" customHeight="1">
      <c r="G20" s="8" t="s">
        <v>10</v>
      </c>
      <c r="H20" s="150" t="str">
        <f>+IF(LEN(F9)&gt;0, F9, "")</f>
        <v>須ケ口建設株式会社　代表取締役　清須　太郎</v>
      </c>
      <c r="I20" s="151"/>
      <c r="J20" s="151"/>
      <c r="K20" s="151"/>
      <c r="L20" s="152"/>
    </row>
    <row r="21" spans="7:12" ht="33" customHeight="1">
      <c r="G21" s="7" t="s">
        <v>11</v>
      </c>
      <c r="H21" s="153"/>
      <c r="I21" s="147"/>
      <c r="J21" s="147"/>
      <c r="K21" s="147"/>
      <c r="L21" s="154"/>
    </row>
    <row r="22" spans="7:12" ht="21" customHeight="1">
      <c r="G22" s="1"/>
      <c r="H22" s="1"/>
      <c r="I22" s="1"/>
      <c r="J22" s="1"/>
      <c r="K22" s="1"/>
      <c r="L22" s="1"/>
    </row>
  </sheetData>
  <mergeCells count="12">
    <mergeCell ref="G15:I15"/>
    <mergeCell ref="J15:L15"/>
    <mergeCell ref="H18:I18"/>
    <mergeCell ref="G17:H17"/>
    <mergeCell ref="J17:K17"/>
    <mergeCell ref="H20:L21"/>
    <mergeCell ref="I16:I17"/>
    <mergeCell ref="L16:L17"/>
    <mergeCell ref="H19:L19"/>
    <mergeCell ref="K18:L18"/>
    <mergeCell ref="J16:K16"/>
    <mergeCell ref="G16:H16"/>
  </mergeCells>
  <phoneticPr fontId="1"/>
  <dataValidations count="4">
    <dataValidation imeMode="halfKatakana" allowBlank="1" showInputMessage="1" showErrorMessage="1" sqref="F10 C10:D10"/>
    <dataValidation imeMode="hiragana" allowBlank="1" showInputMessage="1" showErrorMessage="1" sqref="F9 F5 F3 C5:D5 C3:D3 C9:D9"/>
    <dataValidation imeMode="disabled" allowBlank="1" showInputMessage="1" showErrorMessage="1" sqref="F4 F6 F8 C6:D6 C8:D8 C4:D4"/>
    <dataValidation type="list" allowBlank="1" showInputMessage="1" sqref="F7 C7:D7">
      <formula1>"普通, 当座"</formula1>
    </dataValidation>
  </dataValidations>
  <pageMargins left="0.39370078740157483" right="0.39370078740157483" top="0.74803149606299213" bottom="0.74803149606299213"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AY13"/>
  <sheetViews>
    <sheetView tabSelected="1" topLeftCell="Y1" workbookViewId="0">
      <selection activeCell="AJ7" sqref="AJ7"/>
    </sheetView>
  </sheetViews>
  <sheetFormatPr defaultRowHeight="18.75"/>
  <cols>
    <col min="1" max="1" width="12.625" customWidth="1"/>
    <col min="2" max="3" width="10.625" customWidth="1"/>
    <col min="4" max="4" width="12.625" customWidth="1"/>
    <col min="5" max="5" width="6.625" customWidth="1"/>
    <col min="6" max="8" width="12.625" customWidth="1"/>
    <col min="9" max="9" width="16.625" customWidth="1"/>
    <col min="10" max="10" width="9.25" bestFit="1" customWidth="1"/>
    <col min="11" max="11" width="9.25" customWidth="1"/>
    <col min="13" max="15" width="12.625" customWidth="1"/>
    <col min="16" max="16" width="6.625" customWidth="1"/>
    <col min="17" max="17" width="12.625" customWidth="1"/>
    <col min="18" max="18" width="11.625" customWidth="1"/>
    <col min="19" max="20" width="12.625" customWidth="1"/>
    <col min="21" max="21" width="6.625" customWidth="1"/>
    <col min="22" max="29" width="12.625" customWidth="1"/>
    <col min="30" max="30" width="10.75" bestFit="1" customWidth="1"/>
    <col min="31" max="31" width="15.625" customWidth="1"/>
    <col min="32" max="32" width="9.25" bestFit="1" customWidth="1"/>
    <col min="33" max="36" width="9.25" customWidth="1"/>
    <col min="37" max="37" width="11.125" bestFit="1" customWidth="1"/>
    <col min="47" max="47" width="11.625" bestFit="1" customWidth="1"/>
  </cols>
  <sheetData>
    <row r="1" spans="1:51">
      <c r="A1" s="50" t="s">
        <v>74</v>
      </c>
      <c r="B1" s="50"/>
      <c r="C1" s="50"/>
      <c r="D1" s="64" t="s">
        <v>94</v>
      </c>
      <c r="E1" s="87">
        <v>0.1</v>
      </c>
      <c r="M1" s="50" t="s">
        <v>116</v>
      </c>
      <c r="N1" s="50"/>
      <c r="W1" s="123"/>
    </row>
    <row r="2" spans="1:51">
      <c r="A2" s="175" t="s">
        <v>95</v>
      </c>
      <c r="B2" s="175" t="s">
        <v>103</v>
      </c>
      <c r="C2" s="176"/>
      <c r="D2" s="59" t="s">
        <v>96</v>
      </c>
      <c r="E2" s="175" t="s">
        <v>97</v>
      </c>
      <c r="F2" s="176"/>
      <c r="G2" s="176"/>
      <c r="H2" s="176"/>
      <c r="I2" s="59" t="s">
        <v>98</v>
      </c>
      <c r="J2" s="92" t="s">
        <v>137</v>
      </c>
      <c r="K2" s="92"/>
      <c r="M2" s="175" t="s">
        <v>109</v>
      </c>
      <c r="N2" s="175" t="s">
        <v>187</v>
      </c>
      <c r="O2" s="175" t="s">
        <v>110</v>
      </c>
      <c r="P2" s="175" t="s">
        <v>157</v>
      </c>
      <c r="Q2" s="177" t="s">
        <v>166</v>
      </c>
      <c r="R2" s="177" t="s">
        <v>169</v>
      </c>
      <c r="S2" s="177" t="s">
        <v>111</v>
      </c>
      <c r="T2" s="178"/>
      <c r="U2" s="175" t="s">
        <v>97</v>
      </c>
      <c r="V2" s="176"/>
      <c r="W2" s="176"/>
      <c r="X2" s="176"/>
      <c r="Y2" s="175" t="s">
        <v>112</v>
      </c>
      <c r="Z2" s="176"/>
      <c r="AA2" s="175" t="s">
        <v>113</v>
      </c>
      <c r="AB2" s="177" t="s">
        <v>165</v>
      </c>
      <c r="AC2" s="175" t="s">
        <v>118</v>
      </c>
      <c r="AD2" s="175" t="s">
        <v>119</v>
      </c>
      <c r="AE2" s="175" t="s">
        <v>115</v>
      </c>
      <c r="AF2" s="92" t="s">
        <v>137</v>
      </c>
      <c r="AG2" s="92"/>
      <c r="AH2" s="92"/>
      <c r="AI2" s="92"/>
      <c r="AJ2" s="92"/>
      <c r="AK2" s="92"/>
    </row>
    <row r="3" spans="1:51">
      <c r="A3" s="176"/>
      <c r="B3" s="59" t="s">
        <v>104</v>
      </c>
      <c r="C3" s="59" t="s">
        <v>105</v>
      </c>
      <c r="D3" s="59" t="s">
        <v>99</v>
      </c>
      <c r="E3" s="59" t="s">
        <v>106</v>
      </c>
      <c r="F3" s="59" t="s">
        <v>107</v>
      </c>
      <c r="G3" s="59" t="s">
        <v>108</v>
      </c>
      <c r="H3" s="59"/>
      <c r="I3" s="59"/>
      <c r="J3" s="92" t="s">
        <v>138</v>
      </c>
      <c r="K3" s="92" t="s">
        <v>150</v>
      </c>
      <c r="M3" s="176"/>
      <c r="N3" s="176"/>
      <c r="O3" s="176"/>
      <c r="P3" s="176"/>
      <c r="Q3" s="176"/>
      <c r="R3" s="176"/>
      <c r="S3" s="104" t="s">
        <v>108</v>
      </c>
      <c r="T3" s="104"/>
      <c r="U3" s="59" t="s">
        <v>106</v>
      </c>
      <c r="V3" s="59" t="s">
        <v>107</v>
      </c>
      <c r="W3" s="59" t="s">
        <v>108</v>
      </c>
      <c r="X3" s="59"/>
      <c r="Y3" s="104" t="s">
        <v>108</v>
      </c>
      <c r="Z3" s="104"/>
      <c r="AA3" s="176"/>
      <c r="AB3" s="176"/>
      <c r="AC3" s="176"/>
      <c r="AD3" s="176"/>
      <c r="AE3" s="176"/>
      <c r="AF3" s="92" t="s">
        <v>138</v>
      </c>
      <c r="AG3" s="92" t="s">
        <v>150</v>
      </c>
      <c r="AH3" s="92" t="s">
        <v>162</v>
      </c>
      <c r="AI3" s="92"/>
      <c r="AJ3" s="92" t="s">
        <v>172</v>
      </c>
      <c r="AK3" s="92" t="s">
        <v>173</v>
      </c>
    </row>
    <row r="4" spans="1:51">
      <c r="A4" s="60" t="s">
        <v>100</v>
      </c>
      <c r="B4" s="61" t="s">
        <v>100</v>
      </c>
      <c r="C4" s="61" t="s">
        <v>100</v>
      </c>
      <c r="D4" s="60" t="s">
        <v>100</v>
      </c>
      <c r="E4" s="62" t="s">
        <v>100</v>
      </c>
      <c r="F4" s="62" t="s">
        <v>101</v>
      </c>
      <c r="G4" s="62" t="s">
        <v>100</v>
      </c>
      <c r="H4" s="63" t="s">
        <v>102</v>
      </c>
      <c r="I4" s="61" t="s">
        <v>100</v>
      </c>
      <c r="J4" s="63" t="s">
        <v>102</v>
      </c>
      <c r="K4" s="63" t="s">
        <v>102</v>
      </c>
      <c r="M4" s="60" t="s">
        <v>100</v>
      </c>
      <c r="N4" s="60" t="s">
        <v>100</v>
      </c>
      <c r="O4" s="61" t="s">
        <v>100</v>
      </c>
      <c r="P4" s="63" t="s">
        <v>102</v>
      </c>
      <c r="Q4" s="63" t="s">
        <v>102</v>
      </c>
      <c r="R4" s="60" t="s">
        <v>100</v>
      </c>
      <c r="S4" s="62" t="s">
        <v>100</v>
      </c>
      <c r="T4" s="63" t="s">
        <v>102</v>
      </c>
      <c r="U4" s="62" t="s">
        <v>100</v>
      </c>
      <c r="V4" s="62" t="s">
        <v>101</v>
      </c>
      <c r="W4" s="62" t="s">
        <v>100</v>
      </c>
      <c r="X4" s="63" t="s">
        <v>102</v>
      </c>
      <c r="Y4" s="62" t="s">
        <v>100</v>
      </c>
      <c r="Z4" s="63" t="s">
        <v>102</v>
      </c>
      <c r="AA4" s="63" t="s">
        <v>102</v>
      </c>
      <c r="AB4" s="63" t="s">
        <v>102</v>
      </c>
      <c r="AC4" s="63" t="s">
        <v>102</v>
      </c>
      <c r="AD4" s="63" t="s">
        <v>102</v>
      </c>
      <c r="AE4" s="61" t="s">
        <v>100</v>
      </c>
      <c r="AF4" s="63" t="s">
        <v>102</v>
      </c>
      <c r="AG4" s="63" t="s">
        <v>102</v>
      </c>
      <c r="AH4" s="63"/>
      <c r="AI4" s="63"/>
      <c r="AJ4" s="63"/>
      <c r="AK4" s="63"/>
      <c r="AM4" s="50" t="s">
        <v>140</v>
      </c>
      <c r="AS4" s="50" t="s">
        <v>156</v>
      </c>
    </row>
    <row r="5" spans="1:51">
      <c r="A5" s="66" t="s">
        <v>83</v>
      </c>
      <c r="B5" s="66" t="s">
        <v>92</v>
      </c>
      <c r="C5" s="66" t="s">
        <v>93</v>
      </c>
      <c r="D5" s="66" t="s">
        <v>84</v>
      </c>
      <c r="E5" s="66" t="s">
        <v>88</v>
      </c>
      <c r="F5" s="66" t="s">
        <v>107</v>
      </c>
      <c r="G5" s="66" t="s">
        <v>89</v>
      </c>
      <c r="H5" s="66" t="s">
        <v>90</v>
      </c>
      <c r="I5" s="66" t="s">
        <v>85</v>
      </c>
      <c r="J5" s="88" t="s">
        <v>138</v>
      </c>
      <c r="K5" s="88" t="s">
        <v>139</v>
      </c>
      <c r="M5" s="65" t="s">
        <v>86</v>
      </c>
      <c r="N5" s="65" t="s">
        <v>188</v>
      </c>
      <c r="O5" s="65" t="s">
        <v>87</v>
      </c>
      <c r="P5" s="65" t="s">
        <v>158</v>
      </c>
      <c r="Q5" s="65" t="s">
        <v>167</v>
      </c>
      <c r="R5" s="65" t="s">
        <v>168</v>
      </c>
      <c r="S5" s="65" t="s">
        <v>170</v>
      </c>
      <c r="T5" s="65" t="s">
        <v>175</v>
      </c>
      <c r="U5" s="66" t="s">
        <v>88</v>
      </c>
      <c r="V5" s="66" t="s">
        <v>107</v>
      </c>
      <c r="W5" s="66" t="s">
        <v>89</v>
      </c>
      <c r="X5" s="66" t="s">
        <v>90</v>
      </c>
      <c r="Y5" s="66" t="s">
        <v>176</v>
      </c>
      <c r="Z5" s="65" t="s">
        <v>45</v>
      </c>
      <c r="AA5" s="65" t="s">
        <v>114</v>
      </c>
      <c r="AB5" s="65" t="s">
        <v>117</v>
      </c>
      <c r="AC5" s="65" t="s">
        <v>118</v>
      </c>
      <c r="AD5" s="65" t="s">
        <v>119</v>
      </c>
      <c r="AE5" s="65" t="s">
        <v>85</v>
      </c>
      <c r="AF5" s="88" t="s">
        <v>138</v>
      </c>
      <c r="AG5" s="88" t="s">
        <v>139</v>
      </c>
      <c r="AH5" s="88" t="s">
        <v>91</v>
      </c>
      <c r="AI5" s="88" t="s">
        <v>164</v>
      </c>
      <c r="AJ5" s="88" t="s">
        <v>172</v>
      </c>
      <c r="AK5" s="88" t="s">
        <v>174</v>
      </c>
      <c r="AM5" t="s">
        <v>145</v>
      </c>
      <c r="AN5" t="s">
        <v>141</v>
      </c>
      <c r="AO5" t="s">
        <v>144</v>
      </c>
      <c r="AP5" t="s">
        <v>146</v>
      </c>
      <c r="AQ5" t="s">
        <v>147</v>
      </c>
      <c r="AS5" s="93" t="s">
        <v>145</v>
      </c>
      <c r="AT5" s="94" t="s">
        <v>141</v>
      </c>
      <c r="AU5" s="94" t="s">
        <v>144</v>
      </c>
      <c r="AV5" s="94" t="s">
        <v>146</v>
      </c>
      <c r="AW5" s="94" t="s">
        <v>155</v>
      </c>
      <c r="AX5" s="94" t="s">
        <v>171</v>
      </c>
      <c r="AY5" s="95" t="s">
        <v>147</v>
      </c>
    </row>
    <row r="6" spans="1:51">
      <c r="A6" s="96">
        <v>45017</v>
      </c>
      <c r="B6" s="58"/>
      <c r="C6" s="58"/>
      <c r="D6" s="86">
        <v>25888500</v>
      </c>
      <c r="G6" s="86"/>
      <c r="H6" s="86">
        <f>+IF(LEN(TB_契約情報[[#This Row],[税_手入力]])&gt;0, TB_契約情報[[#This Row],[税_手入力]], INT(TB_契約情報[[#This Row],[契約金額]]*TB_契約情報[[#This Row],[適用税率]]/(1+TB_契約情報[[#This Row],[適用税率]]))+IF((TB_契約情報[[#This Row],[端数処理方法]]="01 切上げ")*(TB_契約情報[[#This Row],[税端数]]=FALSE), 1, 0))</f>
        <v>2353500</v>
      </c>
      <c r="J6" s="89">
        <f>+IF(LEN(TB_契約情報[[#This Row],[税率]])&gt;0, TB_契約情報[[#This Row],[税率]], $E$1)</f>
        <v>0.1</v>
      </c>
      <c r="K6" s="90" t="b">
        <f>+IFERROR(MOD(TB_契約情報[[#This Row],[契約金額]]*TB_契約情報[[#This Row],[適用税率]]/(1+TB_契約情報[[#This Row],[適用税率]]), INT(TB_契約情報[[#This Row],[契約金額]]*TB_契約情報[[#This Row],[適用税率]]/(1+TB_契約情報[[#This Row],[適用税率]])))=0, TRUE)</f>
        <v>1</v>
      </c>
      <c r="M6" s="97">
        <v>45047</v>
      </c>
      <c r="N6" s="97"/>
      <c r="O6" t="s">
        <v>159</v>
      </c>
      <c r="P6">
        <f ca="1">+COUNTIF(OFFSET(TB_支払情報[[#Headers],[請求区分]], 1, 0):TB_支払情報[[#This Row],[請求区分]], TB_支払情報[[#This Row],[請求区分]])</f>
        <v>1</v>
      </c>
      <c r="Q6" s="86">
        <f>+SUMIFS(TB_契約情報[契約金額], TB_契約情報[契約年月日], "&lt;="&amp;TB_支払情報[[#This Row],[請求年月日]])</f>
        <v>25888500</v>
      </c>
      <c r="R6" s="103"/>
      <c r="S6" s="86"/>
      <c r="T6" s="86">
        <f>+IF(LEN(TB_支払情報[[#This Row],[請求対象金額_入力]])&gt;0, TB_支払情報[[#This Row],[請求対象金額_入力]], ROUNDDOWN(TB_支払情報[[#This Row],[時点契約金額]]*IF(TB_支払情報[[#This Row],[請求区分CD]]=$AS$8, TB_支払情報[[#This Row],[出来高]], 1)*TB_支払情報[[#This Row],[率]]-TB_支払情報[[#This Row],[控除額]], IF(TB_支払情報[[#This Row],[請求区分CD]]=$AS$9, -2, -5)))</f>
        <v>10300000</v>
      </c>
      <c r="W6" s="86"/>
      <c r="X6" s="98">
        <f>+IF(LEN(TB_支払情報[[#This Row],[税_手入力]])&gt;0, TB_支払情報[[#This Row],[税_手入力]],INT(TB_支払情報[[#This Row],[請求対象金額]]*TB_支払情報[[#This Row],[適用税率]]/(1+TB_支払情報[[#This Row],[適用税率]]))+IF((TB_支払情報[[#This Row],[端数処理]]=$AO$6)*(TB_支払情報[[#This Row],[税端数]]=FALSE), 1, 0))</f>
        <v>0</v>
      </c>
      <c r="Y6" s="98"/>
      <c r="Z6" s="86">
        <f ca="1">+IF(LEN(TB_支払情報[[#This Row],[前払金充当額_入力]])&gt;0, TB_支払情報[[#This Row],[前払金充当額_入力]], IF(TB_支払情報[[#This Row],[請求区分CD]]=$AS$8, ROUNDDOWN(SUMIFS(TB_支払情報[請求対象金額], TB_支払情報[請求区分CD], "&lt;="&amp;$AS$7)/TB_支払情報[[#This Row],[時点契約金額]]*(TB_支払情報[[#This Row],[時点契約金額]]*TB_支払情報[[#This Row],[出来高]]), -5), IF(TB_支払情報[[#This Row],[請求区分CD]]=$AS$9, SUMIFS(TB_支払情報[請求対象金額], TB_支払情報[請求区分CD], "&lt;="&amp;$AS$7)-SUM(OFFSET(TB_支払情報[[#Headers],[前払金充当額]], 1, 0):OFFSET(TB_支払情報[[#This Row],[前払金充当額]], -1, 0)), 0)))</f>
        <v>0</v>
      </c>
      <c r="AA6" s="86">
        <f ca="1">+TB_支払情報[[#This Row],[請求対象金額]]-TB_支払情報[[#This Row],[前払金充当額]]</f>
        <v>10300000</v>
      </c>
      <c r="AB6" s="86">
        <f ca="1">+TB_契約情報[[#Totals],[契約金額]]-SUMIFS(OFFSET(TB_支払情報[[#Headers],[請求金額]], 1, 0):TB_支払情報[[#This Row],[請求金額]], OFFSET(TB_支払情報[[#Headers],[請求区分CD]], 1, 0):TB_支払情報[[#This Row],[請求区分CD]], "&gt;="&amp;$AS$8)-SUM(OFFSET(TB_支払情報[[#Headers],[前払金充当額]], 1, 0):TB_支払情報[[#This Row],[前払金充当額]])</f>
        <v>25888500</v>
      </c>
      <c r="AC6" s="86">
        <f ca="1">+TB_契約情報[[#Totals],[消費税相当額]]-SUM(OFFSET(TB_支払情報[[#Headers],[消費税相当額]], 1, 0):TB_支払情報[[#This Row],[消費税相当額]])</f>
        <v>2353500</v>
      </c>
      <c r="AD6" s="86" t="str">
        <f ca="1">+IF(ABS(((TB_支払情報[[#This Row],[残請求金額]]-TB_支払情報[[#This Row],[うち消費税]])*TB_契約情報[[#Totals],[適用税率]])-TB_支払情報[[#This Row],[うち消費税]])&lt;1, "CLEAR!!", "#ERROR#")</f>
        <v>CLEAR!!</v>
      </c>
      <c r="AE6" s="86"/>
      <c r="AF6" s="89">
        <f>+IFERROR(IF(INDEX(TB_請求区分[], MATCH(TB_支払情報[[#This Row],[請求区分]], TB_請求区分[List], 0), COLUMN(TB_請求区分[[#Headers],[Val2]])-COLUMN(TB_請求区分[[#Headers],[Code]])+1)=FALSE, 0, IF(LEN(TB_支払情報[[#This Row],[税率]])&gt;0, TB_支払情報[[#This Row],[税率]], $E$1)), 0)</f>
        <v>0</v>
      </c>
      <c r="AG6" s="90" t="b">
        <f>+IFERROR(MOD(TB_支払情報[[#This Row],[請求対象金額]]*TB_支払情報[[#This Row],[適用税率]]/(1+TB_支払情報[[#This Row],[適用税率]]), INT(TB_支払情報[[#This Row],[請求対象金額]]*TB_支払情報[[#This Row],[適用税率]]/(1+TB_支払情報[[#This Row],[適用税率]])))=0, TRUE)</f>
        <v>1</v>
      </c>
      <c r="AH6" s="99">
        <f>+IFERROR(IF(LEN(TB_支払情報[[#This Row],[端数処理方法]])&gt;0, TB_支払情報[[#This Row],[端数処理方法]], INDEX(TB_請求区分[], MATCH(TB_支払情報[[#This Row],[請求区分]], TB_請求区分[List], 0), MATCH(TB_請求区分[[#Headers],[Val1]], TB_請求区分[#Headers], 0))), 0)</f>
        <v>0</v>
      </c>
      <c r="AI6" s="99">
        <f>+VALUE(LEFT(TB_支払情報[[#This Row],[請求区分]], 2))</f>
        <v>1</v>
      </c>
      <c r="AJ6" s="105">
        <f>+INDEX(TB_請求区分[], MATCH(TB_支払情報[[#This Row],[請求区分CD]], TB_請求区分[Code], 0), MATCH(TB_請求区分[[#Headers],[Val3]], TB_請求区分[#Headers], 0))</f>
        <v>0.4</v>
      </c>
      <c r="AK6" s="99">
        <f>+IF(TB_支払情報[[#This Row],[請求区分CD]]=$AS$7, SUMIFS(TB_支払情報[請求対象金額], TB_支払情報[請求区分CD], 1), IF(TB_支払情報[[#This Row],[請求区分CD]]=$AS$9, SUMIFS(TB_支払情報[請求対象金額], TB_支払情報[請求区分CD], 3), 0))</f>
        <v>0</v>
      </c>
      <c r="AM6">
        <v>1</v>
      </c>
      <c r="AN6" t="s">
        <v>142</v>
      </c>
      <c r="AO6" t="str">
        <f>+CONCATENATE(TEXT(TB_端数処理[[#This Row],[Code]], "00 " ), TB_端数処理[[#This Row],[Str]])</f>
        <v>01 切上げ</v>
      </c>
      <c r="AP6">
        <v>1</v>
      </c>
      <c r="AS6">
        <v>1</v>
      </c>
      <c r="AT6" t="s">
        <v>151</v>
      </c>
      <c r="AU6" t="str">
        <f>+CONCATENATE(TEXT(TB_請求区分[[#This Row],[Code]], "00 " ), TB_請求区分[[#This Row],[Str]])</f>
        <v>01 前払</v>
      </c>
      <c r="AW6" t="b">
        <v>0</v>
      </c>
      <c r="AX6">
        <v>0.4</v>
      </c>
    </row>
    <row r="7" spans="1:51">
      <c r="A7" s="96"/>
      <c r="B7" s="58"/>
      <c r="C7" s="58"/>
      <c r="D7" s="86"/>
      <c r="G7" s="86"/>
      <c r="H7" s="86">
        <f>+IF(LEN(TB_契約情報[[#This Row],[税_手入力]])&gt;0, TB_契約情報[[#This Row],[税_手入力]], INT(TB_契約情報[[#This Row],[契約金額]]*TB_契約情報[[#This Row],[適用税率]]/(1+TB_契約情報[[#This Row],[適用税率]]))+IF((TB_契約情報[[#This Row],[端数処理方法]]="01 切上げ")*(TB_契約情報[[#This Row],[税端数]]=FALSE), 1, 0))</f>
        <v>0</v>
      </c>
      <c r="J7" s="89">
        <f>+IF(LEN(TB_契約情報[[#This Row],[税率]])&gt;0, TB_契約情報[[#This Row],[税率]], $E$1)</f>
        <v>0.1</v>
      </c>
      <c r="K7" s="90" t="b">
        <f>+IFERROR(MOD(TB_契約情報[[#This Row],[契約金額]]*TB_契約情報[[#This Row],[適用税率]]/(1+TB_契約情報[[#This Row],[適用税率]]), INT(TB_契約情報[[#This Row],[契約金額]]*TB_契約情報[[#This Row],[適用税率]]/(1+TB_契約情報[[#This Row],[適用税率]])))=0, TRUE)</f>
        <v>1</v>
      </c>
      <c r="M7" s="97">
        <v>45139</v>
      </c>
      <c r="N7" s="97"/>
      <c r="O7" t="s">
        <v>160</v>
      </c>
      <c r="P7">
        <f ca="1">+COUNTIF(OFFSET(TB_支払情報[[#Headers],[請求区分]], 1, 0):TB_支払情報[[#This Row],[請求区分]], TB_支払情報[[#This Row],[請求区分]])</f>
        <v>1</v>
      </c>
      <c r="Q7" s="86">
        <f>+SUMIFS(TB_契約情報[契約金額], TB_契約情報[契約年月日], "&lt;="&amp;TB_支払情報[[#This Row],[請求年月日]])</f>
        <v>25888500</v>
      </c>
      <c r="R7" s="103"/>
      <c r="S7" s="86"/>
      <c r="T7" s="86">
        <f>+IF(LEN(TB_支払情報[[#This Row],[請求対象金額_入力]])&gt;0, TB_支払情報[[#This Row],[請求対象金額_入力]], ROUNDDOWN(TB_支払情報[[#This Row],[時点契約金額]]*IF(TB_支払情報[[#This Row],[請求区分CD]]=$AS$8, TB_支払情報[[#This Row],[出来高]], 1)*TB_支払情報[[#This Row],[率]]-TB_支払情報[[#This Row],[控除額]], IF(TB_支払情報[[#This Row],[請求区分CD]]=$AS$9, -2, -5)))</f>
        <v>5200000</v>
      </c>
      <c r="W7" s="86"/>
      <c r="X7" s="86">
        <f>+IF(LEN(TB_支払情報[[#This Row],[税_手入力]])&gt;0, TB_支払情報[[#This Row],[税_手入力]],INT(TB_支払情報[[#This Row],[請求対象金額]]*TB_支払情報[[#This Row],[適用税率]]/(1+TB_支払情報[[#This Row],[適用税率]]))+IF((TB_支払情報[[#This Row],[端数処理]]=$AO$6)*(TB_支払情報[[#This Row],[税端数]]=FALSE), 1, 0))</f>
        <v>0</v>
      </c>
      <c r="Y7" s="86"/>
      <c r="Z7" s="86">
        <f ca="1">+IF(LEN(TB_支払情報[[#This Row],[前払金充当額_入力]])&gt;0, TB_支払情報[[#This Row],[前払金充当額_入力]], IF(TB_支払情報[[#This Row],[請求区分CD]]=$AS$8, ROUNDDOWN(SUMIFS(TB_支払情報[請求対象金額], TB_支払情報[請求区分CD], "&lt;="&amp;$AS$7)/TB_支払情報[[#This Row],[時点契約金額]]*(TB_支払情報[[#This Row],[時点契約金額]]*TB_支払情報[[#This Row],[出来高]]), -5), IF(TB_支払情報[[#This Row],[請求区分CD]]=$AS$9, SUMIFS(TB_支払情報[請求対象金額], TB_支払情報[請求区分CD], "&lt;="&amp;$AS$7)-SUM(OFFSET(TB_支払情報[[#Headers],[前払金充当額]], 1, 0):OFFSET(TB_支払情報[[#This Row],[前払金充当額]], -1, 0)), 0)))</f>
        <v>0</v>
      </c>
      <c r="AA7" s="86">
        <f ca="1">+TB_支払情報[[#This Row],[請求対象金額]]-TB_支払情報[[#This Row],[前払金充当額]]</f>
        <v>5200000</v>
      </c>
      <c r="AB7" s="86">
        <f ca="1">+TB_契約情報[[#Totals],[契約金額]]-SUMIFS(OFFSET(TB_支払情報[[#Headers],[請求金額]], 1, 0):TB_支払情報[[#This Row],[請求金額]], OFFSET(TB_支払情報[[#Headers],[請求区分CD]], 1, 0):TB_支払情報[[#This Row],[請求区分CD]], "&gt;="&amp;$AS$8)-SUM(OFFSET(TB_支払情報[[#Headers],[前払金充当額]], 1, 0):TB_支払情報[[#This Row],[前払金充当額]])</f>
        <v>25888500</v>
      </c>
      <c r="AC7" s="86">
        <f ca="1">+TB_契約情報[[#Totals],[消費税相当額]]-SUM(OFFSET(TB_支払情報[[#Headers],[消費税相当額]], 1, 0):TB_支払情報[[#This Row],[消費税相当額]])</f>
        <v>2353500</v>
      </c>
      <c r="AD7" s="86" t="str">
        <f ca="1">+IF(ABS(((TB_支払情報[[#This Row],[残請求金額]]-TB_支払情報[[#This Row],[うち消費税]])*TB_契約情報[[#Totals],[適用税率]])-TB_支払情報[[#This Row],[うち消費税]])&lt;1, "CLEAR!!", "#ERROR#")</f>
        <v>CLEAR!!</v>
      </c>
      <c r="AE7" s="86"/>
      <c r="AF7" s="89">
        <f>+IFERROR(IF(INDEX(TB_請求区分[], MATCH(TB_支払情報[[#This Row],[請求区分]], TB_請求区分[List], 0), COLUMN(TB_請求区分[[#Headers],[Val2]])-COLUMN(TB_請求区分[[#Headers],[Code]])+1)=FALSE, 0, IF(LEN(TB_支払情報[[#This Row],[税率]])&gt;0, TB_支払情報[[#This Row],[税率]], $E$1)), 0)</f>
        <v>0</v>
      </c>
      <c r="AG7" s="90" t="b">
        <f>+IFERROR(MOD(TB_支払情報[[#This Row],[請求対象金額]]*TB_支払情報[[#This Row],[適用税率]]/(1+TB_支払情報[[#This Row],[適用税率]]), INT(TB_支払情報[[#This Row],[請求対象金額]]*TB_支払情報[[#This Row],[適用税率]]/(1+TB_支払情報[[#This Row],[適用税率]])))=0, TRUE)</f>
        <v>1</v>
      </c>
      <c r="AH7" s="99">
        <f>+IFERROR(IF(LEN(TB_支払情報[[#This Row],[端数処理方法]])&gt;0, TB_支払情報[[#This Row],[端数処理方法]], INDEX(TB_請求区分[], MATCH(TB_支払情報[[#This Row],[請求区分]], TB_請求区分[List], 0), MATCH(TB_請求区分[[#Headers],[Val1]], TB_請求区分[#Headers], 0))), 0)</f>
        <v>0</v>
      </c>
      <c r="AI7" s="99">
        <f>+VALUE(LEFT(TB_支払情報[[#This Row],[請求区分]], 2))</f>
        <v>2</v>
      </c>
      <c r="AJ7" s="105">
        <f>+INDEX(TB_請求区分[], MATCH(TB_支払情報[[#This Row],[請求区分CD]], TB_請求区分[Code], 0), MATCH(TB_請求区分[[#Headers],[Val3]], TB_請求区分[#Headers], 0))</f>
        <v>0.6</v>
      </c>
      <c r="AK7" s="99">
        <f>+IF(TB_支払情報[[#This Row],[請求区分CD]]=$AS$7, SUMIFS(TB_支払情報[請求対象金額], TB_支払情報[請求区分CD], 1), IF(TB_支払情報[[#This Row],[請求区分CD]]=$AS$9, SUMIFS(TB_支払情報[請求対象金額], TB_支払情報[請求区分CD], 3), 0))</f>
        <v>10300000</v>
      </c>
      <c r="AM7">
        <v>2</v>
      </c>
      <c r="AN7" t="s">
        <v>143</v>
      </c>
      <c r="AO7" t="str">
        <f>+CONCATENATE(TEXT(TB_端数処理[[#This Row],[Code]], "00 " ), TB_端数処理[[#This Row],[Str]])</f>
        <v>02 切捨て</v>
      </c>
      <c r="AP7">
        <v>0</v>
      </c>
      <c r="AS7">
        <v>2</v>
      </c>
      <c r="AT7" t="s">
        <v>152</v>
      </c>
      <c r="AU7" t="str">
        <f>+CONCATENATE(TEXT(TB_請求区分[[#This Row],[Code]], "00 " ), TB_請求区分[[#This Row],[Str]])</f>
        <v>02 中間前払</v>
      </c>
      <c r="AW7" t="b">
        <v>0</v>
      </c>
      <c r="AX7">
        <v>0.6</v>
      </c>
    </row>
    <row r="8" spans="1:51">
      <c r="A8" s="96"/>
      <c r="B8" s="58"/>
      <c r="C8" s="58"/>
      <c r="D8" s="86"/>
      <c r="G8" s="86"/>
      <c r="H8" s="86">
        <f>+IF(LEN(TB_契約情報[[#This Row],[税_手入力]])&gt;0, TB_契約情報[[#This Row],[税_手入力]], INT(TB_契約情報[[#This Row],[契約金額]]*TB_契約情報[[#This Row],[適用税率]]/(1+TB_契約情報[[#This Row],[適用税率]]))+IF((TB_契約情報[[#This Row],[端数処理方法]]="01 切上げ")*(TB_契約情報[[#This Row],[税端数]]=FALSE), 1, 0))</f>
        <v>0</v>
      </c>
      <c r="J8" s="89">
        <f>+IF(LEN(TB_契約情報[[#This Row],[税率]])&gt;0, TB_契約情報[[#This Row],[税率]], $E$1)</f>
        <v>0.1</v>
      </c>
      <c r="K8" s="90" t="b">
        <f>+IFERROR(MOD(TB_契約情報[[#This Row],[契約金額]]*TB_契約情報[[#This Row],[適用税率]]/(1+TB_契約情報[[#This Row],[適用税率]]), INT(TB_契約情報[[#This Row],[契約金額]]*TB_契約情報[[#This Row],[適用税率]]/(1+TB_契約情報[[#This Row],[適用税率]])))=0, TRUE)</f>
        <v>1</v>
      </c>
      <c r="M8" s="97">
        <v>45200</v>
      </c>
      <c r="N8" s="97">
        <v>45199</v>
      </c>
      <c r="O8" t="s">
        <v>161</v>
      </c>
      <c r="P8">
        <f ca="1">+COUNTIF(OFFSET(TB_支払情報[[#Headers],[請求区分]], 1, 0):TB_支払情報[[#This Row],[請求区分]], TB_支払情報[[#This Row],[請求区分]])</f>
        <v>1</v>
      </c>
      <c r="Q8" s="86">
        <f>+SUMIFS(TB_契約情報[契約金額], TB_契約情報[契約年月日], "&lt;="&amp;TB_支払情報[[#This Row],[請求年月日]])</f>
        <v>25888500</v>
      </c>
      <c r="R8" s="103">
        <v>0.56000000000000005</v>
      </c>
      <c r="S8" s="86"/>
      <c r="T8" s="86">
        <f>+IF(LEN(TB_支払情報[[#This Row],[請求対象金額_入力]])&gt;0, TB_支払情報[[#This Row],[請求対象金額_入力]], ROUNDDOWN(TB_支払情報[[#This Row],[時点契約金額]]*IF(TB_支払情報[[#This Row],[請求区分CD]]=$AS$8, TB_支払情報[[#This Row],[出来高]], 1)*TB_支払情報[[#This Row],[率]]-TB_支払情報[[#This Row],[控除額]], IF(TB_支払情報[[#This Row],[請求区分CD]]=$AS$9, -2, -5)))</f>
        <v>13000000</v>
      </c>
      <c r="V8" t="s">
        <v>149</v>
      </c>
      <c r="W8" s="86"/>
      <c r="X8" s="86">
        <f>+IF(LEN(TB_支払情報[[#This Row],[税_手入力]])&gt;0, TB_支払情報[[#This Row],[税_手入力]],INT(TB_支払情報[[#This Row],[請求対象金額]]*TB_支払情報[[#This Row],[適用税率]]/(1+TB_支払情報[[#This Row],[適用税率]]))+IF((TB_支払情報[[#This Row],[端数処理]]=$AO$6)*(TB_支払情報[[#This Row],[税端数]]=FALSE), 1, 0))</f>
        <v>1181818</v>
      </c>
      <c r="Y8" s="86"/>
      <c r="Z8" s="86">
        <f ca="1">+IF(LEN(TB_支払情報[[#This Row],[前払金充当額_入力]])&gt;0, TB_支払情報[[#This Row],[前払金充当額_入力]], IF(TB_支払情報[[#This Row],[請求区分CD]]=$AS$8, ROUNDDOWN(SUMIFS(TB_支払情報[請求対象金額], TB_支払情報[請求区分CD], "&lt;="&amp;$AS$7)/TB_支払情報[[#This Row],[時点契約金額]]*(TB_支払情報[[#This Row],[時点契約金額]]*TB_支払情報[[#This Row],[出来高]]), -5), IF(TB_支払情報[[#This Row],[請求区分CD]]=$AS$9, SUMIFS(TB_支払情報[請求対象金額], TB_支払情報[請求区分CD], "&lt;="&amp;$AS$7)-SUM(OFFSET(TB_支払情報[[#Headers],[前払金充当額]], 1, 0):OFFSET(TB_支払情報[[#This Row],[前払金充当額]], -1, 0)), 0)))</f>
        <v>8600000</v>
      </c>
      <c r="AA8" s="86">
        <f ca="1">+TB_支払情報[[#This Row],[請求対象金額]]-TB_支払情報[[#This Row],[前払金充当額]]</f>
        <v>4400000</v>
      </c>
      <c r="AB8" s="86">
        <f ca="1">+TB_契約情報[[#Totals],[契約金額]]-SUMIFS(OFFSET(TB_支払情報[[#Headers],[請求金額]], 1, 0):TB_支払情報[[#This Row],[請求金額]], OFFSET(TB_支払情報[[#Headers],[請求区分CD]], 1, 0):TB_支払情報[[#This Row],[請求区分CD]], "&gt;="&amp;$AS$8)-SUM(OFFSET(TB_支払情報[[#Headers],[前払金充当額]], 1, 0):TB_支払情報[[#This Row],[前払金充当額]])</f>
        <v>12888500</v>
      </c>
      <c r="AC8" s="86">
        <f ca="1">+TB_契約情報[[#Totals],[消費税相当額]]-SUM(OFFSET(TB_支払情報[[#Headers],[消費税相当額]], 1, 0):TB_支払情報[[#This Row],[消費税相当額]])</f>
        <v>1171682</v>
      </c>
      <c r="AD8" s="86" t="str">
        <f ca="1">+IF(ABS(((TB_支払情報[[#This Row],[残請求金額]]-TB_支払情報[[#This Row],[うち消費税]])*TB_契約情報[[#Totals],[適用税率]])-TB_支払情報[[#This Row],[うち消費税]])&lt;1, "CLEAR!!", "#ERROR#")</f>
        <v>CLEAR!!</v>
      </c>
      <c r="AE8" s="86"/>
      <c r="AF8" s="89">
        <f>+IFERROR(IF(INDEX(TB_請求区分[], MATCH(TB_支払情報[[#This Row],[請求区分]], TB_請求区分[List], 0), COLUMN(TB_請求区分[[#Headers],[Val2]])-COLUMN(TB_請求区分[[#Headers],[Code]])+1)=FALSE, 0, IF(LEN(TB_支払情報[[#This Row],[税率]])&gt;0, TB_支払情報[[#This Row],[税率]], $E$1)), 0)</f>
        <v>0.1</v>
      </c>
      <c r="AG8" s="90" t="b">
        <f>+IFERROR(MOD(TB_支払情報[[#This Row],[請求対象金額]]*TB_支払情報[[#This Row],[適用税率]]/(1+TB_支払情報[[#This Row],[適用税率]]), INT(TB_支払情報[[#This Row],[請求対象金額]]*TB_支払情報[[#This Row],[適用税率]]/(1+TB_支払情報[[#This Row],[適用税率]])))=0, TRUE)</f>
        <v>0</v>
      </c>
      <c r="AH8" s="99" t="str">
        <f>+IFERROR(IF(LEN(TB_支払情報[[#This Row],[端数処理方法]])&gt;0, TB_支払情報[[#This Row],[端数処理方法]], INDEX(TB_請求区分[], MATCH(TB_支払情報[[#This Row],[請求区分]], TB_請求区分[List], 0), MATCH(TB_請求区分[[#Headers],[Val1]], TB_請求区分[#Headers], 0))), 0)</f>
        <v>02 切捨て</v>
      </c>
      <c r="AI8" s="99">
        <f>+VALUE(LEFT(TB_支払情報[[#This Row],[請求区分]], 2))</f>
        <v>3</v>
      </c>
      <c r="AJ8" s="105">
        <f>+INDEX(TB_請求区分[], MATCH(TB_支払情報[[#This Row],[請求区分CD]], TB_請求区分[Code], 0), MATCH(TB_請求区分[[#Headers],[Val3]], TB_請求区分[#Headers], 0))</f>
        <v>0.9</v>
      </c>
      <c r="AK8" s="99">
        <f>+IF(TB_支払情報[[#This Row],[請求区分CD]]=$AS$7, SUMIFS(TB_支払情報[請求対象金額], TB_支払情報[請求区分CD], 1), IF(TB_支払情報[[#This Row],[請求区分CD]]=$AS$9, SUMIFS(TB_支払情報[請求対象金額], TB_支払情報[請求区分CD], 3), 0))</f>
        <v>0</v>
      </c>
      <c r="AS8">
        <v>3</v>
      </c>
      <c r="AT8" t="s">
        <v>153</v>
      </c>
      <c r="AU8" t="str">
        <f>+CONCATENATE(TEXT(TB_請求区分[[#This Row],[Code]], "00 " ), TB_請求区分[[#This Row],[Str]])</f>
        <v>03 部分払</v>
      </c>
      <c r="AV8" t="s">
        <v>148</v>
      </c>
      <c r="AW8" t="b">
        <v>1</v>
      </c>
      <c r="AX8">
        <v>0.9</v>
      </c>
    </row>
    <row r="9" spans="1:51">
      <c r="A9" s="96"/>
      <c r="B9" s="58"/>
      <c r="C9" s="58"/>
      <c r="D9" s="86">
        <f>SUBTOTAL(109,TB_契約情報[契約金額])</f>
        <v>25888500</v>
      </c>
      <c r="G9" s="86"/>
      <c r="H9" s="86">
        <f>SUBTOTAL(109,TB_契約情報[消費税相当額])</f>
        <v>2353500</v>
      </c>
      <c r="J9" s="89">
        <f>+E1</f>
        <v>0.1</v>
      </c>
      <c r="K9" s="91"/>
      <c r="M9" s="97">
        <v>45261</v>
      </c>
      <c r="N9" s="97">
        <v>45260</v>
      </c>
      <c r="O9" t="s">
        <v>163</v>
      </c>
      <c r="P9">
        <f ca="1">+COUNTIF(OFFSET(TB_支払情報[[#Headers],[請求区分]], 1, 0):TB_支払情報[[#This Row],[請求区分]], TB_支払情報[[#This Row],[請求区分]])</f>
        <v>1</v>
      </c>
      <c r="Q9" s="86">
        <f>+SUMIFS(TB_契約情報[契約金額], TB_契約情報[契約年月日], "&lt;="&amp;TB_支払情報[[#This Row],[請求年月日]])</f>
        <v>25888500</v>
      </c>
      <c r="R9" s="103"/>
      <c r="S9" s="86"/>
      <c r="T9" s="86">
        <f>+IF(LEN(TB_支払情報[[#This Row],[請求対象金額_入力]])&gt;0, TB_支払情報[[#This Row],[請求対象金額_入力]], ROUNDDOWN(TB_支払情報[[#This Row],[時点契約金額]]*IF(TB_支払情報[[#This Row],[請求区分CD]]=$AS$8, TB_支払情報[[#This Row],[出来高]], 1)*TB_支払情報[[#This Row],[率]]-TB_支払情報[[#This Row],[控除額]], IF(TB_支払情報[[#This Row],[請求区分CD]]=$AS$9, -2, -5)))</f>
        <v>12888500</v>
      </c>
      <c r="V9" t="s">
        <v>148</v>
      </c>
      <c r="W9" s="86"/>
      <c r="X9" s="86">
        <f>+IF(LEN(TB_支払情報[[#This Row],[税_手入力]])&gt;0, TB_支払情報[[#This Row],[税_手入力]],INT(TB_支払情報[[#This Row],[請求対象金額]]*TB_支払情報[[#This Row],[適用税率]]/(1+TB_支払情報[[#This Row],[適用税率]]))+IF((TB_支払情報[[#This Row],[端数処理]]=$AO$6)*(TB_支払情報[[#This Row],[税端数]]=FALSE), 1, 0))</f>
        <v>1171682</v>
      </c>
      <c r="Y9" s="86"/>
      <c r="Z9" s="86">
        <f ca="1">+IF(LEN(TB_支払情報[[#This Row],[前払金充当額_入力]])&gt;0, TB_支払情報[[#This Row],[前払金充当額_入力]], IF(TB_支払情報[[#This Row],[請求区分CD]]=$AS$8, ROUNDDOWN(SUMIFS(TB_支払情報[請求対象金額], TB_支払情報[請求区分CD], "&lt;="&amp;$AS$7)/TB_支払情報[[#This Row],[時点契約金額]]*(TB_支払情報[[#This Row],[時点契約金額]]*TB_支払情報[[#This Row],[出来高]]), -5), IF(TB_支払情報[[#This Row],[請求区分CD]]=$AS$9, SUMIFS(TB_支払情報[請求対象金額], TB_支払情報[請求区分CD], "&lt;="&amp;$AS$7)-SUM(OFFSET(TB_支払情報[[#Headers],[前払金充当額]], 1, 0):OFFSET(TB_支払情報[[#This Row],[前払金充当額]], -1, 0)), 0)))</f>
        <v>6900000</v>
      </c>
      <c r="AA9" s="86">
        <f ca="1">+TB_支払情報[[#This Row],[請求対象金額]]-TB_支払情報[[#This Row],[前払金充当額]]</f>
        <v>5988500</v>
      </c>
      <c r="AB9" s="86">
        <f ca="1">+TB_契約情報[[#Totals],[契約金額]]-SUMIFS(OFFSET(TB_支払情報[[#Headers],[請求金額]], 1, 0):TB_支払情報[[#This Row],[請求金額]], OFFSET(TB_支払情報[[#Headers],[請求区分CD]], 1, 0):TB_支払情報[[#This Row],[請求区分CD]], "&gt;="&amp;$AS$8)-SUM(OFFSET(TB_支払情報[[#Headers],[前払金充当額]], 1, 0):TB_支払情報[[#This Row],[前払金充当額]])</f>
        <v>0</v>
      </c>
      <c r="AC9" s="86">
        <f ca="1">+TB_契約情報[[#Totals],[消費税相当額]]-SUM(OFFSET(TB_支払情報[[#Headers],[消費税相当額]], 1, 0):TB_支払情報[[#This Row],[消費税相当額]])</f>
        <v>0</v>
      </c>
      <c r="AD9" s="86" t="str">
        <f ca="1">+IF(ABS(((TB_支払情報[[#This Row],[残請求金額]]-TB_支払情報[[#This Row],[うち消費税]])*TB_契約情報[[#Totals],[適用税率]])-TB_支払情報[[#This Row],[うち消費税]])&lt;1, "CLEAR!!", "#ERROR#")</f>
        <v>CLEAR!!</v>
      </c>
      <c r="AE9" s="86"/>
      <c r="AF9" s="89">
        <f>+IFERROR(IF(INDEX(TB_請求区分[], MATCH(TB_支払情報[[#This Row],[請求区分]], TB_請求区分[List], 0), COLUMN(TB_請求区分[[#Headers],[Val2]])-COLUMN(TB_請求区分[[#Headers],[Code]])+1)=FALSE, 0, IF(LEN(TB_支払情報[[#This Row],[税率]])&gt;0, TB_支払情報[[#This Row],[税率]], $E$1)), 0)</f>
        <v>0.1</v>
      </c>
      <c r="AG9" s="100" t="b">
        <f>+IFERROR(MOD(TB_支払情報[[#This Row],[請求対象金額]]*TB_支払情報[[#This Row],[適用税率]]/(1+TB_支払情報[[#This Row],[適用税率]]), INT(TB_支払情報[[#This Row],[請求対象金額]]*TB_支払情報[[#This Row],[適用税率]]/(1+TB_支払情報[[#This Row],[適用税率]])))=0, TRUE)</f>
        <v>0</v>
      </c>
      <c r="AH9" s="101" t="str">
        <f>+IFERROR(IF(LEN(TB_支払情報[[#This Row],[端数処理方法]])&gt;0, TB_支払情報[[#This Row],[端数処理方法]], INDEX(TB_請求区分[], MATCH(TB_支払情報[[#This Row],[請求区分]], TB_請求区分[List], 0), MATCH(TB_請求区分[[#Headers],[Val1]], TB_請求区分[#Headers], 0))), 0)</f>
        <v>01 切上げ</v>
      </c>
      <c r="AI9" s="101">
        <f>+VALUE(LEFT(TB_支払情報[[#This Row],[請求区分]], 2))</f>
        <v>4</v>
      </c>
      <c r="AJ9" s="106">
        <f>+INDEX(TB_請求区分[], MATCH(TB_支払情報[[#This Row],[請求区分CD]], TB_請求区分[Code], 0), MATCH(TB_請求区分[[#Headers],[Val3]], TB_請求区分[#Headers], 0))</f>
        <v>1</v>
      </c>
      <c r="AK9" s="101">
        <f>+IF(TB_支払情報[[#This Row],[請求区分CD]]=$AS$7, SUMIFS(TB_支払情報[請求対象金額], TB_支払情報[請求区分CD], 1), IF(TB_支払情報[[#This Row],[請求区分CD]]=$AS$9, SUMIFS(TB_支払情報[請求対象金額], TB_支払情報[請求区分CD], 3), 0))</f>
        <v>13000000</v>
      </c>
      <c r="AS9">
        <v>4</v>
      </c>
      <c r="AT9" t="s">
        <v>154</v>
      </c>
      <c r="AU9" t="str">
        <f>+CONCATENATE(TEXT(TB_請求区分[[#This Row],[Code]], "00 " ), TB_請求区分[[#This Row],[Str]])</f>
        <v>04 完了</v>
      </c>
      <c r="AV9" t="s">
        <v>149</v>
      </c>
      <c r="AW9" t="b">
        <v>1</v>
      </c>
      <c r="AX9">
        <v>1</v>
      </c>
    </row>
    <row r="10" spans="1:51">
      <c r="A10" s="57"/>
      <c r="B10" s="57"/>
      <c r="C10" s="57"/>
      <c r="AF10" s="102"/>
      <c r="AG10" s="102"/>
      <c r="AH10" s="102"/>
      <c r="AI10" s="102"/>
      <c r="AJ10" s="102"/>
      <c r="AK10" s="102"/>
    </row>
    <row r="11" spans="1:51">
      <c r="AD11" s="103"/>
    </row>
    <row r="13" spans="1:51">
      <c r="AC13" s="86"/>
    </row>
  </sheetData>
  <mergeCells count="17">
    <mergeCell ref="A2:A3"/>
    <mergeCell ref="B2:C2"/>
    <mergeCell ref="M2:M3"/>
    <mergeCell ref="AD2:AD3"/>
    <mergeCell ref="P2:P3"/>
    <mergeCell ref="O2:O3"/>
    <mergeCell ref="U2:X2"/>
    <mergeCell ref="AA2:AA3"/>
    <mergeCell ref="Q2:Q3"/>
    <mergeCell ref="N2:N3"/>
    <mergeCell ref="R2:R3"/>
    <mergeCell ref="S2:T2"/>
    <mergeCell ref="Y2:Z2"/>
    <mergeCell ref="AE2:AE3"/>
    <mergeCell ref="AB2:AB3"/>
    <mergeCell ref="AC2:AC3"/>
    <mergeCell ref="E2:H2"/>
  </mergeCells>
  <phoneticPr fontId="14"/>
  <dataValidations count="2">
    <dataValidation type="list" allowBlank="1" showInputMessage="1" showErrorMessage="1" sqref="F6:F8 AV6:AV9 V6:V9">
      <formula1>LT_端数処理</formula1>
    </dataValidation>
    <dataValidation type="list" allowBlank="1" showInputMessage="1" showErrorMessage="1" sqref="O6:O9">
      <formula1>LT_請求区分</formula1>
    </dataValidation>
  </dataValidations>
  <pageMargins left="0.7" right="0.7" top="0.75" bottom="0.75" header="0.3" footer="0.3"/>
  <pageSetup paperSize="9" orientation="portrait" verticalDpi="0" r:id="rId1"/>
  <drawing r:id="rId2"/>
  <legacyDrawing r:id="rId3"/>
  <tableParts count="4">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L34"/>
  <sheetViews>
    <sheetView topLeftCell="A16" zoomScaleNormal="100" workbookViewId="0"/>
  </sheetViews>
  <sheetFormatPr defaultRowHeight="24" customHeight="1"/>
  <cols>
    <col min="1" max="1" width="9" style="1"/>
    <col min="2" max="2" width="3.125" style="1" customWidth="1"/>
    <col min="3" max="3" width="23.625" style="1" customWidth="1"/>
    <col min="4" max="4" width="3.125" style="1" customWidth="1"/>
    <col min="5" max="6" width="12.625" style="1" customWidth="1"/>
    <col min="7" max="7" width="20.25" style="1" customWidth="1"/>
    <col min="8" max="9" width="3.125" style="1" customWidth="1"/>
    <col min="10" max="10" width="18.375" style="1" bestFit="1" customWidth="1"/>
    <col min="11" max="12" width="14.625" style="1" customWidth="1"/>
    <col min="13" max="16384" width="9" style="1"/>
  </cols>
  <sheetData>
    <row r="2" spans="2:11" ht="21" customHeight="1">
      <c r="B2" s="1" t="s">
        <v>14</v>
      </c>
      <c r="J2" s="107" t="str">
        <f>+金額情報入力!$AU$6</f>
        <v>01 前払</v>
      </c>
    </row>
    <row r="3" spans="2:11" ht="21" customHeight="1"/>
    <row r="4" spans="2:11" ht="21" customHeight="1">
      <c r="B4" s="132" t="s">
        <v>121</v>
      </c>
      <c r="C4" s="132"/>
      <c r="D4" s="132"/>
      <c r="E4" s="132"/>
      <c r="F4" s="132"/>
      <c r="G4" s="132"/>
      <c r="H4" s="21"/>
    </row>
    <row r="5" spans="2:11" ht="21" customHeight="1"/>
    <row r="6" spans="2:11" ht="21" customHeight="1">
      <c r="G6" s="133" t="str">
        <f>+CONCATENATE(TEXT(K6, "ggg"), TEXT(K6, CONCATENATE(IF(LEN(TEXT(K6, "e"))=1, CHAR(32), ""), "e年")), TEXT(K6, CONCATENATE(IF(LEN(TEXT(K6, "m"))=1, CHAR(32), ""), "m月")), TEXT(K6, CONCATENATE(IF(LEN(TEXT(K6, "d"))=1, CHAR(32), ""), "d日")))</f>
        <v>令和 5年 5月 1日</v>
      </c>
      <c r="H6" s="134"/>
      <c r="J6" s="32" t="s">
        <v>54</v>
      </c>
      <c r="K6" s="35">
        <f>+INDEX(TB_支払情報[請求年月日], MATCH($J$2, TB_支払情報[請求区分], 0), 1)</f>
        <v>45047</v>
      </c>
    </row>
    <row r="7" spans="2:11" ht="21" customHeight="1">
      <c r="F7" s="40"/>
      <c r="G7" s="41"/>
      <c r="H7" s="41"/>
      <c r="J7" s="32"/>
      <c r="K7" s="35"/>
    </row>
    <row r="8" spans="2:11" ht="21" customHeight="1">
      <c r="F8" s="47" t="str">
        <f>+基本情報入力!$B$3</f>
        <v>須ケ口建設株式会社</v>
      </c>
      <c r="G8" s="42"/>
      <c r="H8" s="42"/>
      <c r="J8" s="111" t="s">
        <v>186</v>
      </c>
      <c r="K8" s="35" t="s">
        <v>33</v>
      </c>
    </row>
    <row r="9" spans="2:11" ht="21" customHeight="1">
      <c r="F9" s="47" t="str">
        <f>+CONCATENATE(基本情報入力!$B$4, CHAR(8481), 基本情報入力!$B$5)</f>
        <v xml:space="preserve">代表取締役　清須　太郎 </v>
      </c>
      <c r="G9" s="42"/>
      <c r="H9" s="42"/>
      <c r="J9" s="32" t="s">
        <v>178</v>
      </c>
      <c r="K9" s="110"/>
    </row>
    <row r="10" spans="2:11" ht="21" customHeight="1">
      <c r="F10" s="47"/>
      <c r="G10" s="42"/>
      <c r="H10" s="42"/>
      <c r="J10" s="32"/>
      <c r="K10" s="35"/>
    </row>
    <row r="11" spans="2:11" ht="21" customHeight="1">
      <c r="F11" s="47"/>
      <c r="G11" s="42"/>
      <c r="H11" s="42"/>
      <c r="J11" s="32"/>
      <c r="K11" s="35"/>
    </row>
    <row r="12" spans="2:11" ht="21" customHeight="1"/>
    <row r="13" spans="2:11" ht="21" customHeight="1">
      <c r="B13" s="2" t="s">
        <v>0</v>
      </c>
      <c r="J13" s="1" t="s">
        <v>61</v>
      </c>
    </row>
    <row r="14" spans="2:11" ht="21" customHeight="1">
      <c r="B14" s="2" t="s">
        <v>31</v>
      </c>
    </row>
    <row r="15" spans="2:11" ht="21" customHeight="1"/>
    <row r="16" spans="2:11" ht="21" customHeight="1">
      <c r="C16" s="22" t="s">
        <v>1</v>
      </c>
      <c r="E16" s="135">
        <f ca="1">+E25</f>
        <v>10300000</v>
      </c>
      <c r="F16" s="135"/>
      <c r="G16" s="135"/>
      <c r="H16" s="48"/>
    </row>
    <row r="17" spans="2:12" ht="21" customHeight="1"/>
    <row r="18" spans="2:12" ht="21" customHeight="1">
      <c r="B18" s="2" t="s">
        <v>2</v>
      </c>
    </row>
    <row r="19" spans="2:12" ht="21" customHeight="1"/>
    <row r="20" spans="2:12" ht="21" customHeight="1">
      <c r="B20" s="46">
        <v>1</v>
      </c>
      <c r="C20" s="3" t="s">
        <v>3</v>
      </c>
      <c r="D20" s="3"/>
      <c r="E20" s="136" t="str">
        <f>+K20</f>
        <v>〇〇工事 その1</v>
      </c>
      <c r="F20" s="137"/>
      <c r="G20" s="137"/>
      <c r="H20" s="23"/>
      <c r="J20" s="37" t="s">
        <v>3</v>
      </c>
      <c r="K20" s="36" t="str">
        <f>+基本情報入力!$B$7</f>
        <v>〇〇工事 その1</v>
      </c>
    </row>
    <row r="21" spans="2:12" ht="21" customHeight="1">
      <c r="B21" s="46">
        <v>2</v>
      </c>
      <c r="C21" s="3" t="s">
        <v>4</v>
      </c>
      <c r="D21" s="3"/>
      <c r="E21" s="138" t="str">
        <f>+CONCATENATE(TEXT(K21, "ggg"), TEXT(K21, CONCATENATE(IF(LEN(TEXT(K21, "e"))=1, CHAR(32), ""), "e年")), TEXT(K21, CONCATENATE(IF(LEN(TEXT(K21, "m"))=1, CHAR(32), ""), "m月")), TEXT(K21, CONCATENATE(IF(LEN(TEXT(K21, "d"))=1, CHAR(32), ""), "d日")))</f>
        <v>令和 5年 4月 1日</v>
      </c>
      <c r="F21" s="138"/>
      <c r="G21" s="138"/>
      <c r="H21" s="39"/>
      <c r="J21" s="37" t="s">
        <v>4</v>
      </c>
      <c r="K21" s="35">
        <f>+基本情報入力!$B$8</f>
        <v>45017</v>
      </c>
    </row>
    <row r="22" spans="2:12" ht="21" customHeight="1">
      <c r="B22" s="46">
        <v>3</v>
      </c>
      <c r="C22" s="3" t="s">
        <v>51</v>
      </c>
      <c r="D22" s="3"/>
      <c r="J22" s="30"/>
      <c r="K22" s="31"/>
      <c r="L22" s="30"/>
    </row>
    <row r="23" spans="2:12" ht="18" customHeight="1">
      <c r="B23" s="139" t="s">
        <v>34</v>
      </c>
      <c r="C23" s="140"/>
      <c r="D23" s="141"/>
      <c r="E23" s="51" t="s">
        <v>58</v>
      </c>
      <c r="F23" s="51" t="s">
        <v>39</v>
      </c>
      <c r="G23" s="142" t="s">
        <v>38</v>
      </c>
      <c r="H23" s="143"/>
      <c r="J23" s="32" t="s">
        <v>34</v>
      </c>
      <c r="K23" s="32" t="s">
        <v>189</v>
      </c>
      <c r="L23" s="32" t="s">
        <v>190</v>
      </c>
    </row>
    <row r="24" spans="2:12" ht="18" customHeight="1">
      <c r="B24" s="124" t="s">
        <v>35</v>
      </c>
      <c r="C24" s="125"/>
      <c r="D24" s="44" t="s">
        <v>46</v>
      </c>
      <c r="E24" s="45">
        <f>+K24</f>
        <v>25888500</v>
      </c>
      <c r="F24" s="45">
        <f>+L24</f>
        <v>2353500</v>
      </c>
      <c r="G24" s="126"/>
      <c r="H24" s="127"/>
      <c r="J24" s="30" t="s">
        <v>35</v>
      </c>
      <c r="K24" s="109">
        <f>+INDEX(TB_支払情報[時点契約金額], MATCH($J$2, TB_支払情報[請求区分], 0), 1)</f>
        <v>25888500</v>
      </c>
      <c r="L24" s="33">
        <f>+SUMIFS(TB_契約情報[消費税相当額], TB_契約情報[契約年月日], "&lt;="&amp;$K$6)</f>
        <v>2353500</v>
      </c>
    </row>
    <row r="25" spans="2:12" ht="18" customHeight="1">
      <c r="B25" s="128" t="s">
        <v>122</v>
      </c>
      <c r="C25" s="129"/>
      <c r="D25" s="27" t="s">
        <v>47</v>
      </c>
      <c r="E25" s="25">
        <f ca="1">+K25</f>
        <v>10300000</v>
      </c>
      <c r="F25" s="25" t="s">
        <v>124</v>
      </c>
      <c r="G25" s="130"/>
      <c r="H25" s="131"/>
      <c r="J25" s="30" t="s">
        <v>123</v>
      </c>
      <c r="K25" s="109">
        <f ca="1">+INDEX(TB_支払情報[請求金額], MATCH($J$2, TB_支払情報[請求区分], 0), 1)</f>
        <v>10300000</v>
      </c>
      <c r="L25" s="30"/>
    </row>
    <row r="26" spans="2:12" ht="21" customHeight="1">
      <c r="B26" s="46">
        <v>4</v>
      </c>
      <c r="C26" s="3" t="s">
        <v>6</v>
      </c>
      <c r="D26" s="3"/>
      <c r="F26" s="28"/>
      <c r="J26" s="34"/>
      <c r="K26" s="33"/>
      <c r="L26" s="33"/>
    </row>
    <row r="27" spans="2:12" ht="21" customHeight="1">
      <c r="C27" s="1" t="str">
        <f>+CONCATENATE($K$27, CHAR(8481), $K$29, CHAR(8481), $K$28, CHAR(45), $K$30, CHAR(8481), $K$31, CHAR(8481), $K$32)</f>
        <v>□□銀行　〇△支店　0002-456　当座 　07654321</v>
      </c>
      <c r="D27" s="3"/>
      <c r="J27" s="30" t="s">
        <v>7</v>
      </c>
      <c r="K27" s="30" t="str">
        <f>+INDEX(口座情報入力!$C$3:$D$10, MATCH($J27, 口座情報入力!$A$3:$A$10, 0), MATCH($K$8, LT_口座, 0))</f>
        <v>□□銀行</v>
      </c>
      <c r="L27" s="30"/>
    </row>
    <row r="28" spans="2:12" ht="21" customHeight="1">
      <c r="B28" s="2"/>
      <c r="C28" s="1" t="str">
        <f>+$K$34</f>
        <v>ｹﾝﾀｲｷｮｳ ｽｶｸﾞﾁｹﾝｾﾂ</v>
      </c>
      <c r="D28" s="3"/>
      <c r="J28" s="30" t="s">
        <v>16</v>
      </c>
      <c r="K28" s="30" t="str">
        <f>+TEXT(INDEX(口座情報入力!$C$3:$D$10, MATCH($J28, 口座情報入力!$A$3:$A$10, 0), MATCH($K$8, LT_口座, 0)), "0000")</f>
        <v>0002</v>
      </c>
      <c r="L28" s="33"/>
    </row>
    <row r="29" spans="2:12" ht="21" customHeight="1">
      <c r="B29" s="2"/>
      <c r="C29" s="43" t="str">
        <f>+$K$33</f>
        <v>建退共 須ケ口建設</v>
      </c>
      <c r="D29" s="3"/>
      <c r="J29" s="30" t="s">
        <v>17</v>
      </c>
      <c r="K29" s="30" t="str">
        <f>+INDEX(口座情報入力!$C$3:$D$10, MATCH($J29, 口座情報入力!$A$3:$A$10, 0), MATCH($K$8, LT_口座, 0))</f>
        <v>〇△支店</v>
      </c>
      <c r="L29" s="33"/>
    </row>
    <row r="30" spans="2:12" ht="21" customHeight="1">
      <c r="J30" s="30" t="s">
        <v>18</v>
      </c>
      <c r="K30" s="30" t="str">
        <f>+TEXT(INDEX(口座情報入力!$C$3:$D$10, MATCH($J30, 口座情報入力!$A$3:$A$10, 0), MATCH($K$8, LT_口座, 0)), "000")</f>
        <v>456</v>
      </c>
      <c r="L30" s="20"/>
    </row>
    <row r="31" spans="2:12" ht="21" customHeight="1">
      <c r="J31" s="30" t="s">
        <v>8</v>
      </c>
      <c r="K31" s="30" t="str">
        <f>+INDEX(口座情報入力!$C$3:$D$10, MATCH($J31, 口座情報入力!$A$3:$A$10, 0), MATCH($K$8, LT_口座, 0))</f>
        <v xml:space="preserve">当座 </v>
      </c>
    </row>
    <row r="32" spans="2:12" ht="21" customHeight="1">
      <c r="J32" s="30" t="s">
        <v>12</v>
      </c>
      <c r="K32" s="30" t="str">
        <f>+TEXT(INDEX(口座情報入力!$C$3:$D$10, MATCH($J32, 口座情報入力!$A$3:$A$10, 0), MATCH($K$8, LT_口座, 0)), REPT(0, 8))</f>
        <v>07654321</v>
      </c>
    </row>
    <row r="33" spans="10:11" ht="21" customHeight="1">
      <c r="J33" s="30" t="s">
        <v>19</v>
      </c>
      <c r="K33" s="30" t="str">
        <f>+INDEX(口座情報入力!$C$3:$D$10, MATCH($J33, 口座情報入力!$A$3:$A$10, 0), MATCH($K$8, LT_口座, 0))</f>
        <v>建退共 須ケ口建設</v>
      </c>
    </row>
    <row r="34" spans="10:11" ht="21" customHeight="1">
      <c r="J34" s="30" t="s">
        <v>20</v>
      </c>
      <c r="K34" s="30" t="str">
        <f>+INDEX(口座情報入力!$C$3:$D$10, MATCH($J34, 口座情報入力!$A$3:$A$10, 0), MATCH($K$8, LT_口座, 0))</f>
        <v>ｹﾝﾀｲｷｮｳ ｽｶｸﾞﾁｹﾝｾﾂ</v>
      </c>
    </row>
  </sheetData>
  <mergeCells count="11">
    <mergeCell ref="B4:G4"/>
    <mergeCell ref="E16:G16"/>
    <mergeCell ref="E20:G20"/>
    <mergeCell ref="E21:G21"/>
    <mergeCell ref="G6:H6"/>
    <mergeCell ref="G24:H24"/>
    <mergeCell ref="G25:H25"/>
    <mergeCell ref="G23:H23"/>
    <mergeCell ref="B23:D23"/>
    <mergeCell ref="B24:C24"/>
    <mergeCell ref="B25:C25"/>
  </mergeCells>
  <phoneticPr fontId="1"/>
  <dataValidations count="1">
    <dataValidation type="list" allowBlank="1" showInputMessage="1" showErrorMessage="1" sqref="K8">
      <formula1>LT_口座</formula1>
    </dataValidation>
  </dataValidations>
  <pageMargins left="0.78740157480314965" right="0.78740157480314965" top="0.98425196850393704" bottom="0.78740157480314965"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L37"/>
  <sheetViews>
    <sheetView zoomScaleNormal="100" workbookViewId="0"/>
  </sheetViews>
  <sheetFormatPr defaultRowHeight="24" customHeight="1"/>
  <cols>
    <col min="1" max="1" width="9" style="1"/>
    <col min="2" max="2" width="3.125" style="1" customWidth="1"/>
    <col min="3" max="3" width="23.625" style="1" customWidth="1"/>
    <col min="4" max="4" width="3.125" style="1" customWidth="1"/>
    <col min="5" max="6" width="12.625" style="1" customWidth="1"/>
    <col min="7" max="7" width="20.25" style="1" customWidth="1"/>
    <col min="8" max="9" width="3.125" style="1" customWidth="1"/>
    <col min="10" max="10" width="18.375" style="1" bestFit="1" customWidth="1"/>
    <col min="11" max="12" width="14.625" style="1" customWidth="1"/>
    <col min="13" max="16384" width="9" style="1"/>
  </cols>
  <sheetData>
    <row r="2" spans="2:11" ht="21" customHeight="1">
      <c r="B2" s="1" t="s">
        <v>125</v>
      </c>
      <c r="J2" s="107" t="str">
        <f>+金額情報入力!$AU$7</f>
        <v>02 中間前払</v>
      </c>
    </row>
    <row r="3" spans="2:11" ht="21" customHeight="1"/>
    <row r="4" spans="2:11" ht="21" customHeight="1">
      <c r="B4" s="132" t="s">
        <v>126</v>
      </c>
      <c r="C4" s="132"/>
      <c r="D4" s="132"/>
      <c r="E4" s="132"/>
      <c r="F4" s="132"/>
      <c r="G4" s="132"/>
      <c r="H4" s="53"/>
    </row>
    <row r="5" spans="2:11" ht="21" customHeight="1"/>
    <row r="6" spans="2:11" ht="21" customHeight="1">
      <c r="G6" s="133" t="str">
        <f>+CONCATENATE(TEXT(K6, "ggg"), TEXT(K6, CONCATENATE(IF(LEN(TEXT(K6, "e"))=1, CHAR(32), ""), "e年")), TEXT(K6, CONCATENATE(IF(LEN(TEXT(K6, "m"))=1, CHAR(32), ""), "m月")), TEXT(K6, CONCATENATE(IF(LEN(TEXT(K6, "d"))=1, CHAR(32), ""), "d日")))</f>
        <v>令和 5年 8月 1日</v>
      </c>
      <c r="H6" s="134"/>
      <c r="J6" s="32" t="s">
        <v>54</v>
      </c>
      <c r="K6" s="35">
        <f>+INDEX(TB_支払情報[請求年月日], MATCH($J$2, TB_支払情報[請求区分], 0), 1)</f>
        <v>45139</v>
      </c>
    </row>
    <row r="7" spans="2:11" ht="21" customHeight="1">
      <c r="F7" s="54"/>
      <c r="G7" s="55"/>
      <c r="H7" s="55"/>
      <c r="J7" s="32"/>
      <c r="K7" s="35"/>
    </row>
    <row r="8" spans="2:11" ht="21" customHeight="1">
      <c r="F8" s="47" t="str">
        <f>+基本情報入力!$B$3</f>
        <v>須ケ口建設株式会社</v>
      </c>
      <c r="G8" s="42"/>
      <c r="H8" s="42"/>
      <c r="J8" s="111" t="s">
        <v>186</v>
      </c>
      <c r="K8" s="35" t="s">
        <v>33</v>
      </c>
    </row>
    <row r="9" spans="2:11" ht="21" customHeight="1">
      <c r="F9" s="47" t="str">
        <f>+CONCATENATE(基本情報入力!$B$4, CHAR(8481), 基本情報入力!$B$5)</f>
        <v xml:space="preserve">代表取締役　清須　太郎 </v>
      </c>
      <c r="G9" s="42"/>
      <c r="H9" s="42"/>
      <c r="J9" s="32"/>
      <c r="K9" s="35"/>
    </row>
    <row r="10" spans="2:11" ht="21" customHeight="1">
      <c r="F10" s="47"/>
      <c r="G10" s="42"/>
      <c r="H10" s="42"/>
      <c r="J10" s="32"/>
      <c r="K10" s="35"/>
    </row>
    <row r="11" spans="2:11" ht="21" customHeight="1">
      <c r="F11" s="47"/>
      <c r="G11" s="42"/>
      <c r="H11" s="42"/>
      <c r="J11" s="32"/>
      <c r="K11" s="35"/>
    </row>
    <row r="12" spans="2:11" ht="21" customHeight="1"/>
    <row r="13" spans="2:11" ht="21" customHeight="1">
      <c r="B13" s="2" t="s">
        <v>0</v>
      </c>
      <c r="J13" s="1" t="s">
        <v>61</v>
      </c>
    </row>
    <row r="14" spans="2:11" ht="21" customHeight="1">
      <c r="B14" s="2" t="s">
        <v>31</v>
      </c>
    </row>
    <row r="15" spans="2:11" ht="21" customHeight="1"/>
    <row r="16" spans="2:11" ht="21" customHeight="1">
      <c r="C16" s="22" t="s">
        <v>1</v>
      </c>
      <c r="E16" s="135">
        <f ca="1">+E26</f>
        <v>5200000</v>
      </c>
      <c r="F16" s="135"/>
      <c r="G16" s="135"/>
      <c r="H16" s="48"/>
    </row>
    <row r="17" spans="2:12" ht="21" customHeight="1"/>
    <row r="18" spans="2:12" ht="21" customHeight="1">
      <c r="B18" s="2" t="s">
        <v>131</v>
      </c>
    </row>
    <row r="19" spans="2:12" ht="21" customHeight="1"/>
    <row r="20" spans="2:12" ht="21" customHeight="1">
      <c r="B20" s="46">
        <v>1</v>
      </c>
      <c r="C20" s="3" t="s">
        <v>3</v>
      </c>
      <c r="D20" s="3"/>
      <c r="E20" s="136" t="str">
        <f>+K20</f>
        <v>〇〇工事 その1</v>
      </c>
      <c r="F20" s="137"/>
      <c r="G20" s="137"/>
      <c r="H20" s="56"/>
      <c r="J20" s="37" t="s">
        <v>3</v>
      </c>
      <c r="K20" s="36" t="str">
        <f>+基本情報入力!$B$7</f>
        <v>〇〇工事 その1</v>
      </c>
    </row>
    <row r="21" spans="2:12" ht="21" customHeight="1">
      <c r="B21" s="46">
        <v>2</v>
      </c>
      <c r="C21" s="3" t="s">
        <v>4</v>
      </c>
      <c r="D21" s="3"/>
      <c r="E21" s="138" t="str">
        <f>+CONCATENATE(TEXT(K21, "ggg"), TEXT(K21, CONCATENATE(IF(LEN(TEXT(K21, "e"))=1, CHAR(32), ""), "e年")), TEXT(K21, CONCATENATE(IF(LEN(TEXT(K21, "m"))=1, CHAR(32), ""), "m月")), TEXT(K21, CONCATENATE(IF(LEN(TEXT(K21, "d"))=1, CHAR(32), ""), "d日")))</f>
        <v>令和 5年 4月 1日</v>
      </c>
      <c r="F21" s="138"/>
      <c r="G21" s="138"/>
      <c r="H21" s="52"/>
      <c r="J21" s="37" t="s">
        <v>4</v>
      </c>
      <c r="K21" s="35">
        <f>+基本情報入力!$B$8</f>
        <v>45017</v>
      </c>
    </row>
    <row r="22" spans="2:12" ht="21" customHeight="1">
      <c r="B22" s="46">
        <v>3</v>
      </c>
      <c r="C22" s="3" t="s">
        <v>51</v>
      </c>
      <c r="D22" s="3"/>
      <c r="J22" s="30"/>
      <c r="K22" s="31"/>
      <c r="L22" s="30"/>
    </row>
    <row r="23" spans="2:12" ht="18" customHeight="1">
      <c r="B23" s="139" t="s">
        <v>21</v>
      </c>
      <c r="C23" s="140"/>
      <c r="D23" s="141"/>
      <c r="E23" s="51" t="s">
        <v>58</v>
      </c>
      <c r="F23" s="51" t="s">
        <v>39</v>
      </c>
      <c r="G23" s="142" t="s">
        <v>38</v>
      </c>
      <c r="H23" s="143"/>
      <c r="J23" s="32" t="s">
        <v>21</v>
      </c>
      <c r="K23" s="32" t="s">
        <v>189</v>
      </c>
      <c r="L23" s="32" t="s">
        <v>190</v>
      </c>
    </row>
    <row r="24" spans="2:12" ht="18" customHeight="1">
      <c r="B24" s="124" t="s">
        <v>5</v>
      </c>
      <c r="C24" s="125"/>
      <c r="D24" s="44" t="s">
        <v>46</v>
      </c>
      <c r="E24" s="45">
        <f>+K24</f>
        <v>25888500</v>
      </c>
      <c r="F24" s="45">
        <f>+L24</f>
        <v>2353500</v>
      </c>
      <c r="G24" s="126"/>
      <c r="H24" s="127"/>
      <c r="J24" s="30" t="s">
        <v>5</v>
      </c>
      <c r="K24" s="109">
        <f>+INDEX(TB_支払情報[時点契約金額], MATCH($J$2, TB_支払情報[請求区分], 0), 1)</f>
        <v>25888500</v>
      </c>
      <c r="L24" s="33">
        <f>+SUMIFS(TB_契約情報[消費税相当額], TB_契約情報[契約年月日], "&lt;="&amp;$K$6)</f>
        <v>2353500</v>
      </c>
    </row>
    <row r="25" spans="2:12" ht="18" customHeight="1">
      <c r="B25" s="144" t="s">
        <v>127</v>
      </c>
      <c r="C25" s="145"/>
      <c r="D25" s="73" t="s">
        <v>47</v>
      </c>
      <c r="E25" s="74">
        <f ca="1">+K25</f>
        <v>10300000</v>
      </c>
      <c r="F25" s="74" t="s">
        <v>44</v>
      </c>
      <c r="G25" s="148"/>
      <c r="H25" s="149"/>
      <c r="J25" s="30" t="s">
        <v>129</v>
      </c>
      <c r="K25" s="109">
        <f ca="1">+INDEX(TB_支払情報[請求金額], MATCH($J$2, TB_支払情報[請求区分], 0)-1, 1)</f>
        <v>10300000</v>
      </c>
      <c r="L25" s="30"/>
    </row>
    <row r="26" spans="2:12" ht="18" customHeight="1">
      <c r="B26" s="146" t="s">
        <v>128</v>
      </c>
      <c r="C26" s="147"/>
      <c r="D26" s="27" t="s">
        <v>47</v>
      </c>
      <c r="E26" s="25">
        <f ca="1">+K26</f>
        <v>5200000</v>
      </c>
      <c r="F26" s="25" t="s">
        <v>124</v>
      </c>
      <c r="G26" s="130"/>
      <c r="H26" s="131"/>
      <c r="J26" s="30" t="s">
        <v>130</v>
      </c>
      <c r="K26" s="33">
        <f ca="1">+INDEX(TB_支払情報[請求金額], MATCH($J$2, TB_支払情報[請求区分], 0), 1)</f>
        <v>5200000</v>
      </c>
      <c r="L26" s="33"/>
    </row>
    <row r="27" spans="2:12" ht="21" customHeight="1">
      <c r="B27" s="67"/>
      <c r="C27" s="68"/>
      <c r="D27" s="69"/>
      <c r="E27" s="70"/>
      <c r="F27" s="70"/>
      <c r="G27" s="71"/>
      <c r="H27" s="72"/>
      <c r="J27" s="30"/>
      <c r="K27" s="33"/>
      <c r="L27" s="33"/>
    </row>
    <row r="28" spans="2:12" ht="21" customHeight="1">
      <c r="B28" s="46">
        <v>4</v>
      </c>
      <c r="C28" s="3" t="s">
        <v>6</v>
      </c>
      <c r="D28" s="3"/>
      <c r="F28" s="28"/>
      <c r="J28" s="30" t="s">
        <v>7</v>
      </c>
      <c r="K28" s="30" t="str">
        <f>+INDEX(口座情報入力!$C$3:$D$10, MATCH($J28, 口座情報入力!$A$3:$A$10, 0), MATCH($K$8, LT_口座, 0))</f>
        <v>□□銀行</v>
      </c>
      <c r="L28" s="30"/>
    </row>
    <row r="29" spans="2:12" ht="21" customHeight="1">
      <c r="C29" s="1" t="str">
        <f>+CONCATENATE($K$28, CHAR(8481), $K$30, CHAR(8481), $K$29, CHAR(45), $K$31, CHAR(8481), $K$32, CHAR(8481), $K$33)</f>
        <v>□□銀行　〇△支店　0002-456　当座 　07654321</v>
      </c>
      <c r="D29" s="3"/>
      <c r="J29" s="30" t="s">
        <v>16</v>
      </c>
      <c r="K29" s="30" t="str">
        <f>+TEXT(INDEX(口座情報入力!$C$3:$D$10, MATCH($J29, 口座情報入力!$A$3:$A$10, 0), MATCH($K$8, LT_口座, 0)), "0000")</f>
        <v>0002</v>
      </c>
      <c r="L29" s="33"/>
    </row>
    <row r="30" spans="2:12" ht="21" customHeight="1">
      <c r="B30" s="2"/>
      <c r="C30" s="1" t="str">
        <f>+$K$35</f>
        <v>ｹﾝﾀｲｷｮｳ ｽｶｸﾞﾁｹﾝｾﾂ</v>
      </c>
      <c r="D30" s="3"/>
      <c r="J30" s="30" t="s">
        <v>17</v>
      </c>
      <c r="K30" s="30" t="str">
        <f>+INDEX(口座情報入力!$C$3:$D$10, MATCH($J30, 口座情報入力!$A$3:$A$10, 0), MATCH($K$8, LT_口座, 0))</f>
        <v>〇△支店</v>
      </c>
      <c r="L30" s="30"/>
    </row>
    <row r="31" spans="2:12" ht="21" customHeight="1">
      <c r="B31" s="2"/>
      <c r="C31" s="43" t="str">
        <f>+$K$34</f>
        <v>建退共 須ケ口建設</v>
      </c>
      <c r="D31" s="3"/>
      <c r="J31" s="30" t="s">
        <v>18</v>
      </c>
      <c r="K31" s="30" t="str">
        <f>+TEXT(INDEX(口座情報入力!$C$3:$D$10, MATCH($J31, 口座情報入力!$A$3:$A$10, 0), MATCH($K$8, LT_口座, 0)), "000")</f>
        <v>456</v>
      </c>
      <c r="L31" s="33"/>
    </row>
    <row r="32" spans="2:12" ht="21" customHeight="1">
      <c r="J32" s="30" t="s">
        <v>8</v>
      </c>
      <c r="K32" s="30" t="str">
        <f>+INDEX(口座情報入力!$C$3:$D$10, MATCH($J32, 口座情報入力!$A$3:$A$10, 0), MATCH($K$8, LT_口座, 0))</f>
        <v xml:space="preserve">当座 </v>
      </c>
      <c r="L32" s="20"/>
    </row>
    <row r="33" spans="10:11" ht="21" customHeight="1">
      <c r="J33" s="30" t="s">
        <v>12</v>
      </c>
      <c r="K33" s="30" t="str">
        <f>+TEXT(INDEX(口座情報入力!$C$3:$D$10, MATCH($J33, 口座情報入力!$A$3:$A$10, 0), MATCH($K$8, LT_口座, 0)), REPT(0, 8))</f>
        <v>07654321</v>
      </c>
    </row>
    <row r="34" spans="10:11" ht="21" customHeight="1">
      <c r="J34" s="30" t="s">
        <v>19</v>
      </c>
      <c r="K34" s="30" t="str">
        <f>+INDEX(口座情報入力!$C$3:$D$10, MATCH($J34, 口座情報入力!$A$3:$A$10, 0), MATCH($K$8, LT_口座, 0))</f>
        <v>建退共 須ケ口建設</v>
      </c>
    </row>
    <row r="35" spans="10:11" ht="24" customHeight="1">
      <c r="J35" s="30" t="s">
        <v>20</v>
      </c>
      <c r="K35" s="30" t="str">
        <f>+INDEX(口座情報入力!$C$3:$D$10, MATCH($J35, 口座情報入力!$A$3:$A$10, 0), MATCH($K$8, LT_口座, 0))</f>
        <v>ｹﾝﾀｲｷｮｳ ｽｶｸﾞﾁｹﾝｾﾂ</v>
      </c>
    </row>
    <row r="36" spans="10:11" ht="24" customHeight="1">
      <c r="J36" s="30"/>
      <c r="K36" s="30"/>
    </row>
    <row r="37" spans="10:11" ht="24" customHeight="1">
      <c r="J37" s="30"/>
      <c r="K37" s="30"/>
    </row>
  </sheetData>
  <mergeCells count="13">
    <mergeCell ref="B24:C24"/>
    <mergeCell ref="G24:H24"/>
    <mergeCell ref="B26:C26"/>
    <mergeCell ref="G26:H26"/>
    <mergeCell ref="B25:C25"/>
    <mergeCell ref="G25:H25"/>
    <mergeCell ref="B23:D23"/>
    <mergeCell ref="G23:H23"/>
    <mergeCell ref="B4:G4"/>
    <mergeCell ref="G6:H6"/>
    <mergeCell ref="E16:G16"/>
    <mergeCell ref="E20:G20"/>
    <mergeCell ref="E21:G21"/>
  </mergeCells>
  <phoneticPr fontId="1"/>
  <dataValidations count="1">
    <dataValidation type="list" allowBlank="1" showInputMessage="1" showErrorMessage="1" sqref="K8">
      <formula1>LT_口座</formula1>
    </dataValidation>
  </dataValidations>
  <pageMargins left="0.78740157480314965" right="0.78740157480314965" top="0.98425196850393704"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例)前払金請求書</vt:lpstr>
      <vt:lpstr>例)中間前払金請求書</vt:lpstr>
      <vt:lpstr>例)部分払請求書</vt:lpstr>
      <vt:lpstr>例)請求書</vt:lpstr>
      <vt:lpstr>基本情報入力</vt:lpstr>
      <vt:lpstr>口座情報入力</vt:lpstr>
      <vt:lpstr>金額情報入力</vt:lpstr>
      <vt:lpstr>前払金請求書</vt:lpstr>
      <vt:lpstr>中間前払金請求書</vt:lpstr>
      <vt:lpstr>部分払請求書</vt:lpstr>
      <vt:lpstr>請求書</vt:lpstr>
      <vt:lpstr>LT_口座</vt:lpstr>
      <vt:lpstr>LT_請求区分</vt:lpstr>
      <vt:lpstr>LT_端数処理</vt:lpstr>
      <vt:lpstr>口座情報入力!Print_Area</vt:lpstr>
      <vt:lpstr>請求書!Print_Area</vt:lpstr>
      <vt:lpstr>前払金請求書!Print_Area</vt:lpstr>
      <vt:lpstr>中間前払金請求書!Print_Area</vt:lpstr>
      <vt:lpstr>部分払請求書!Print_Area</vt:lpstr>
      <vt:lpstr>'例)請求書'!Print_Area</vt:lpstr>
      <vt:lpstr>'例)前払金請求書'!Print_Area</vt:lpstr>
      <vt:lpstr>'例)中間前払金請求書'!Print_Area</vt:lpstr>
      <vt:lpstr>'例)部分払請求書'!Print_Area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kiyosu</dc:creator>
  <cp:lastModifiedBy>kiyosu</cp:lastModifiedBy>
  <cp:lastPrinted>2023-08-14T06:13:38Z</cp:lastPrinted>
  <dcterms:created xsi:type="dcterms:W3CDTF">2022-04-25T12:03:29Z</dcterms:created>
  <dcterms:modified xsi:type="dcterms:W3CDTF">2024-03-04T05:05:56Z</dcterms:modified>
</cp:coreProperties>
</file>