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1"/>
  </bookViews>
  <sheets>
    <sheet name="入力説明" sheetId="1" r:id="rId1"/>
    <sheet name="国保税計算" sheetId="2" r:id="rId2"/>
    <sheet name="課税の根拠" sheetId="3" r:id="rId3"/>
    <sheet name="軽減" sheetId="4" state="hidden" r:id="rId4"/>
    <sheet name="公的年金所得" sheetId="5" state="hidden" r:id="rId5"/>
    <sheet name="給与所得" sheetId="6" state="hidden" r:id="rId6"/>
  </sheets>
  <definedNames>
    <definedName name="_xlnm.Print_Area" localSheetId="1">'国保税計算'!$A$1:$U$29</definedName>
  </definedNames>
  <calcPr fullCalcOnLoad="1"/>
</workbook>
</file>

<file path=xl/comments2.xml><?xml version="1.0" encoding="utf-8"?>
<comments xmlns="http://schemas.openxmlformats.org/spreadsheetml/2006/main">
  <authors>
    <author>清須市</author>
  </authors>
  <commentList>
    <comment ref="F3" authorId="0">
      <text>
        <r>
          <rPr>
            <b/>
            <sz val="9"/>
            <rFont val="ＭＳ Ｐゴシック"/>
            <family val="3"/>
          </rPr>
          <t>75歳以上</t>
        </r>
      </text>
    </comment>
    <comment ref="B2" authorId="0">
      <text>
        <r>
          <rPr>
            <b/>
            <sz val="9"/>
            <rFont val="ＭＳ Ｐゴシック"/>
            <family val="3"/>
          </rPr>
          <t>軽減の対象となる方で、給与支払報告書、年金支払報告書、確定申告書、市・県民税申告書のいずれも提出（資料）のない方は、軽減の対象には該当しません。</t>
        </r>
        <r>
          <rPr>
            <sz val="9"/>
            <rFont val="ＭＳ Ｐゴシック"/>
            <family val="3"/>
          </rPr>
          <t xml:space="preserve">
</t>
        </r>
      </text>
    </comment>
  </commentList>
</comments>
</file>

<file path=xl/sharedStrings.xml><?xml version="1.0" encoding="utf-8"?>
<sst xmlns="http://schemas.openxmlformats.org/spreadsheetml/2006/main" count="154" uniqueCount="119">
  <si>
    <t>生年月日</t>
  </si>
  <si>
    <t>年齢（1/1）</t>
  </si>
  <si>
    <t>給与所得</t>
  </si>
  <si>
    <t>年金所得</t>
  </si>
  <si>
    <t>所得計</t>
  </si>
  <si>
    <t>所得割</t>
  </si>
  <si>
    <t>医療分</t>
  </si>
  <si>
    <t>支援分</t>
  </si>
  <si>
    <t>介護分</t>
  </si>
  <si>
    <t>該当</t>
  </si>
  <si>
    <t>資産割</t>
  </si>
  <si>
    <t>均等割</t>
  </si>
  <si>
    <t>平等割</t>
  </si>
  <si>
    <t>計</t>
  </si>
  <si>
    <t>小計</t>
  </si>
  <si>
    <t>上限</t>
  </si>
  <si>
    <t>税額</t>
  </si>
  <si>
    <t>世帯主</t>
  </si>
  <si>
    <t>保険</t>
  </si>
  <si>
    <t>氏名</t>
  </si>
  <si>
    <t>現在</t>
  </si>
  <si>
    <t>特例</t>
  </si>
  <si>
    <t>支払金額（給与の総額）</t>
  </si>
  <si>
    <t>年調給与額</t>
  </si>
  <si>
    <t>乗率</t>
  </si>
  <si>
    <t>減額値</t>
  </si>
  <si>
    <t>給与所得控除後の給与等の金額</t>
  </si>
  <si>
    <t>K</t>
  </si>
  <si>
    <t>H+L</t>
  </si>
  <si>
    <t>後</t>
  </si>
  <si>
    <t>社</t>
  </si>
  <si>
    <t>国</t>
  </si>
  <si>
    <t>個人計</t>
  </si>
  <si>
    <t>7割軽減判定</t>
  </si>
  <si>
    <t>5割軽減判定</t>
  </si>
  <si>
    <t>2割軽減判定</t>
  </si>
  <si>
    <t>年齢</t>
  </si>
  <si>
    <t>所得</t>
  </si>
  <si>
    <t>軽減判定</t>
  </si>
  <si>
    <t>世帯人数</t>
  </si>
  <si>
    <t>人</t>
  </si>
  <si>
    <t>DG</t>
  </si>
  <si>
    <t>係数</t>
  </si>
  <si>
    <t>軽減</t>
  </si>
  <si>
    <t>特定世帯軽減</t>
  </si>
  <si>
    <t>計</t>
  </si>
  <si>
    <t>IF(C2=0,0,ROUNDDOWN(C2*VLOOKUP(C2,$F$2:$H$13,2)-VLOOKUP(C2,$F$2:$H$13,3),0))</t>
  </si>
  <si>
    <t>国民健康保険税試算表</t>
  </si>
  <si>
    <t>清須市</t>
  </si>
  <si>
    <t>円　（実際の期割とは異なります）</t>
  </si>
  <si>
    <t>所得割額</t>
  </si>
  <si>
    <t>資産割額</t>
  </si>
  <si>
    <t>均等割額</t>
  </si>
  <si>
    <t>平等割額</t>
  </si>
  <si>
    <t>固定資産税額のうち土地及び家屋に係る額の</t>
  </si>
  <si>
    <t>支援金分</t>
  </si>
  <si>
    <t>○算定税額の基礎（税率）</t>
  </si>
  <si>
    <t>課税の根拠</t>
  </si>
  <si>
    <t>※介護分は、40歳以上65歳未満の方のみに適用されます。</t>
  </si>
  <si>
    <t>※75歳以上の方が後期高齢者医療制度へ移行した後、国保加入者が1人になる世帯（特定世帯）は、医療分と支援金分の平等割り額が軽減（特定世帯軽減）されます。</t>
  </si>
  <si>
    <t>　この国民健康保険税は、地方税法第703条の4及び清須市国民健康保険税条例の規定により課税されます。</t>
  </si>
  <si>
    <t>○普通徴収の納期</t>
  </si>
  <si>
    <t>納期はその月の月末です。月末が土・日・祝日（｢休日等｣という）にあたるときは、その日以後の最も近い休日でない日が納期となります。ただし、１２月についてのみ２５日となります。</t>
  </si>
  <si>
    <t>１世帯当り</t>
  </si>
  <si>
    <t>は課税の根拠からリンク</t>
  </si>
  <si>
    <t>１世帯について（円）</t>
  </si>
  <si>
    <t>被保険者１人について（円）</t>
  </si>
  <si>
    <t>限 度 額</t>
  </si>
  <si>
    <t>①給与収入</t>
  </si>
  <si>
    <t>②年金収入</t>
  </si>
  <si>
    <t>③他の所得</t>
  </si>
  <si>
    <t>２ヶ所以上源泉徴収票がある方は支払い金額の合計を入力してください。</t>
  </si>
  <si>
    <t>国民健康保険に加入される方それぞれ入力してください。</t>
  </si>
  <si>
    <t>なお、世帯主の方は国民健康保険に加入されなくても入力が必要です。</t>
  </si>
  <si>
    <t>円　（年度は4月から翌年3月末までです）</t>
  </si>
  <si>
    <t>第一表所得金額合計⑨に加算してください。</t>
  </si>
  <si>
    <r>
      <t>分離申告（譲渡、株、山林、退職等）された方は、</t>
    </r>
    <r>
      <rPr>
        <u val="single"/>
        <sz val="16"/>
        <rFont val="ＭＳ Ｐ明朝"/>
        <family val="1"/>
      </rPr>
      <t>申告書第三表所得金額の合計</t>
    </r>
    <r>
      <rPr>
        <sz val="16"/>
        <rFont val="ＭＳ Ｐ明朝"/>
        <family val="1"/>
      </rPr>
      <t>を</t>
    </r>
  </si>
  <si>
    <t>世帯主及び被保険者情報</t>
  </si>
  <si>
    <t>（Ａ）給与収入のみ又は給与収入があり、確定申告をしない方</t>
  </si>
  <si>
    <t>（Ｂ）年金収入のみ又は年金収入</t>
  </si>
  <si>
    <t>（Ｃ）確定申告をされた方</t>
  </si>
  <si>
    <r>
      <t>生年月日</t>
    </r>
    <r>
      <rPr>
        <sz val="16"/>
        <rFont val="ＭＳ Ｐ明朝"/>
        <family val="1"/>
      </rPr>
      <t>又は</t>
    </r>
    <r>
      <rPr>
        <u val="single"/>
        <sz val="16"/>
        <rFont val="ＭＳ Ｐゴシック"/>
        <family val="3"/>
      </rPr>
      <t>1月1日現在の年齢</t>
    </r>
    <r>
      <rPr>
        <sz val="16"/>
        <rFont val="ＭＳ Ｐ明朝"/>
        <family val="1"/>
      </rPr>
      <t>のいずれかを入力してください。</t>
    </r>
  </si>
  <si>
    <t>加入されている健康保険を選択してください。</t>
  </si>
  <si>
    <r>
      <t>（国保、社保</t>
    </r>
    <r>
      <rPr>
        <sz val="12"/>
        <rFont val="ＭＳ Ｐ明朝"/>
        <family val="1"/>
      </rPr>
      <t>：会社などの健康保険</t>
    </r>
    <r>
      <rPr>
        <sz val="16"/>
        <rFont val="ＭＳ Ｐ明朝"/>
        <family val="1"/>
      </rPr>
      <t>、後期</t>
    </r>
    <r>
      <rPr>
        <sz val="12"/>
        <rFont val="ＭＳ Ｐ明朝"/>
        <family val="1"/>
      </rPr>
      <t>：75歳以上の方の後期高齢者医療</t>
    </r>
    <r>
      <rPr>
        <sz val="16"/>
        <rFont val="ＭＳ Ｐ明朝"/>
        <family val="1"/>
      </rPr>
      <t>）</t>
    </r>
  </si>
  <si>
    <t>←の色の場所は入力することができます。</t>
  </si>
  <si>
    <t>国保に加入する方は「国保」を選択してください。</t>
  </si>
  <si>
    <r>
      <t>国民健康保険税の試算をするための被保険者情報</t>
    </r>
    <r>
      <rPr>
        <sz val="14"/>
        <rFont val="ＭＳ Ｐ明朝"/>
        <family val="1"/>
      </rPr>
      <t>（国民健康保険に加入中及び加入予定の方）</t>
    </r>
    <r>
      <rPr>
        <sz val="16"/>
        <rFont val="ＭＳ Ｐ明朝"/>
        <family val="1"/>
      </rPr>
      <t>を入力してください。</t>
    </r>
  </si>
  <si>
    <t>「③他の所得」に入力してください。</t>
  </si>
  <si>
    <t>給与</t>
  </si>
  <si>
    <t>年金</t>
  </si>
  <si>
    <t>その他</t>
  </si>
  <si>
    <t>年　 額</t>
  </si>
  <si>
    <t>月額約</t>
  </si>
  <si>
    <t>通常時</t>
  </si>
  <si>
    <t>シートの保護をして、</t>
  </si>
  <si>
    <t>シートタグを右クリックし、非表示すること</t>
  </si>
  <si>
    <t>令和</t>
  </si>
  <si>
    <t>７月・８月・９月・１０月・１１月・１２月・１月・２月の月末　（全8期）</t>
  </si>
  <si>
    <t>未就学判定</t>
  </si>
  <si>
    <t>(B)割合</t>
  </si>
  <si>
    <t>(C)控除額</t>
  </si>
  <si>
    <t>から</t>
  </si>
  <si>
    <t>65
歳
以
上</t>
  </si>
  <si>
    <t>65
歳
未
満</t>
  </si>
  <si>
    <t>まで＋１</t>
  </si>
  <si>
    <r>
      <t>　</t>
    </r>
    <r>
      <rPr>
        <b/>
        <sz val="11"/>
        <rFont val="ＭＳ Ｐゴシック"/>
        <family val="3"/>
      </rPr>
      <t>↓</t>
    </r>
  </si>
  <si>
    <r>
      <t>ここに「</t>
    </r>
    <r>
      <rPr>
        <b/>
        <sz val="11"/>
        <color indexed="10"/>
        <rFont val="ＭＳ Ｐゴシック"/>
        <family val="3"/>
      </rPr>
      <t>ｴﾗｰ</t>
    </r>
    <r>
      <rPr>
        <sz val="11"/>
        <rFont val="ＭＳ Ｐゴシック"/>
        <family val="3"/>
      </rPr>
      <t>」表示がある場合は正確に計算できません。</t>
    </r>
  </si>
  <si>
    <t>総所得金額から基礎控除（43万円）を差引いた額の</t>
  </si>
  <si>
    <t>基礎控除</t>
  </si>
  <si>
    <t>給与所得者</t>
  </si>
  <si>
    <t>国保</t>
  </si>
  <si>
    <t>国保and給与</t>
  </si>
  <si>
    <t>国保</t>
  </si>
  <si>
    <t>給与該当</t>
  </si>
  <si>
    <t>年金該当</t>
  </si>
  <si>
    <t>給与から</t>
  </si>
  <si>
    <t>年金から</t>
  </si>
  <si>
    <t>上限10万円</t>
  </si>
  <si>
    <t>所得金額調整控除の計算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</si>
</sst>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Red]\-#,##0\ "/>
    <numFmt numFmtId="178" formatCode="mmm\-yyyy"/>
    <numFmt numFmtId="179" formatCode="0&quot;年度&quot;"/>
    <numFmt numFmtId="180" formatCode="#,##0_ "/>
    <numFmt numFmtId="181" formatCode="0.000%"/>
    <numFmt numFmtId="182" formatCode="0.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b/>
      <sz val="11"/>
      <name val="ＭＳ Ｐゴシック"/>
      <family val="3"/>
    </font>
    <font>
      <sz val="11"/>
      <name val="Arial"/>
      <family val="2"/>
    </font>
    <font>
      <sz val="8"/>
      <color indexed="12"/>
      <name val="ＭＳ Ｐゴシック"/>
      <family val="3"/>
    </font>
    <font>
      <b/>
      <sz val="9"/>
      <name val="ＭＳ Ｐゴシック"/>
      <family val="3"/>
    </font>
    <font>
      <sz val="9"/>
      <name val="ＭＳ Ｐゴシック"/>
      <family val="3"/>
    </font>
    <font>
      <sz val="14"/>
      <name val="ＭＳ Ｐ明朝"/>
      <family val="1"/>
    </font>
    <font>
      <b/>
      <sz val="14"/>
      <name val="ＭＳ Ｐゴシック"/>
      <family val="3"/>
    </font>
    <font>
      <sz val="12"/>
      <name val="ＭＳ Ｐ明朝"/>
      <family val="1"/>
    </font>
    <font>
      <sz val="16"/>
      <name val="ＭＳ Ｐ明朝"/>
      <family val="1"/>
    </font>
    <font>
      <b/>
      <sz val="18"/>
      <name val="ＭＳ Ｐゴシック"/>
      <family val="3"/>
    </font>
    <font>
      <u val="single"/>
      <sz val="16"/>
      <name val="ＭＳ Ｐ明朝"/>
      <family val="1"/>
    </font>
    <font>
      <u val="single"/>
      <sz val="16"/>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16"/>
      <color indexed="8"/>
      <name val="ＭＳ Ｐ明朝"/>
      <family val="1"/>
    </font>
    <font>
      <sz val="14"/>
      <color indexed="12"/>
      <name val="ＭＳ Ｐゴシック"/>
      <family val="3"/>
    </font>
    <font>
      <sz val="12"/>
      <color indexed="12"/>
      <name val="ＭＳ Ｐゴシック"/>
      <family val="3"/>
    </font>
    <font>
      <sz val="10"/>
      <color indexed="8"/>
      <name val="ＭＳ Ｐゴシック"/>
      <family val="3"/>
    </font>
    <font>
      <b/>
      <sz val="10"/>
      <color indexed="8"/>
      <name val="ＭＳ Ｐゴシック"/>
      <family val="3"/>
    </font>
    <font>
      <b/>
      <sz val="12"/>
      <color indexed="10"/>
      <name val="ＭＳ Ｐゴシック"/>
      <family val="3"/>
    </font>
    <font>
      <b/>
      <u val="single"/>
      <sz val="12"/>
      <color indexed="8"/>
      <name val="ＭＳ Ｐゴシック"/>
      <family val="3"/>
    </font>
    <font>
      <b/>
      <u val="single"/>
      <sz val="11"/>
      <color indexed="8"/>
      <name val="ＭＳ Ｐゴシック"/>
      <family val="3"/>
    </font>
    <font>
      <sz val="11"/>
      <color indexed="10"/>
      <name val="ＭＳ Ｐ明朝"/>
      <family val="1"/>
    </font>
    <font>
      <b/>
      <u val="sing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
      <b/>
      <sz val="11"/>
      <color rgb="FFFF0000"/>
      <name val="ＭＳ Ｐゴシック"/>
      <family val="3"/>
    </font>
    <font>
      <b/>
      <sz val="11"/>
      <color rgb="FF0000FF"/>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diagonalDown="1">
      <left style="hair"/>
      <right style="hair"/>
      <top style="hair"/>
      <bottom style="hair"/>
      <diagonal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127">
    <xf numFmtId="0" fontId="0" fillId="0" borderId="0" xfId="0" applyAlignment="1">
      <alignment vertical="center"/>
    </xf>
    <xf numFmtId="0" fontId="0" fillId="0" borderId="0" xfId="0" applyNumberFormat="1" applyAlignment="1">
      <alignment vertical="center"/>
    </xf>
    <xf numFmtId="38" fontId="0" fillId="0" borderId="0" xfId="0" applyNumberFormat="1" applyAlignment="1">
      <alignment vertical="center"/>
    </xf>
    <xf numFmtId="38" fontId="0" fillId="0" borderId="0" xfId="49" applyFont="1" applyAlignment="1">
      <alignment vertical="center"/>
    </xf>
    <xf numFmtId="38" fontId="0" fillId="0" borderId="0" xfId="49" applyFont="1" applyFill="1" applyBorder="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176" fontId="4" fillId="34" borderId="10" xfId="0" applyNumberFormat="1" applyFont="1" applyFill="1" applyBorder="1" applyAlignment="1" applyProtection="1">
      <alignment vertical="center"/>
      <protection locked="0"/>
    </xf>
    <xf numFmtId="0" fontId="0" fillId="0" borderId="10" xfId="0" applyNumberFormat="1" applyBorder="1" applyAlignment="1">
      <alignment vertical="center"/>
    </xf>
    <xf numFmtId="0" fontId="4" fillId="34" borderId="10" xfId="0" applyFont="1" applyFill="1" applyBorder="1" applyAlignment="1" applyProtection="1">
      <alignment vertical="center"/>
      <protection locked="0"/>
    </xf>
    <xf numFmtId="38" fontId="4" fillId="34" borderId="10" xfId="49" applyFont="1" applyFill="1" applyBorder="1" applyAlignment="1" applyProtection="1">
      <alignment vertical="center"/>
      <protection locked="0"/>
    </xf>
    <xf numFmtId="38" fontId="0" fillId="0" borderId="10" xfId="49" applyFont="1" applyBorder="1" applyAlignment="1">
      <alignment vertical="center"/>
    </xf>
    <xf numFmtId="0" fontId="5" fillId="0" borderId="0" xfId="0" applyFont="1" applyAlignment="1">
      <alignment vertical="center"/>
    </xf>
    <xf numFmtId="0" fontId="0" fillId="0" borderId="0" xfId="0" applyAlignment="1">
      <alignment horizontal="center" vertical="center"/>
    </xf>
    <xf numFmtId="0" fontId="0" fillId="33" borderId="0" xfId="0" applyFill="1" applyAlignment="1">
      <alignment horizontal="center" vertical="center"/>
    </xf>
    <xf numFmtId="176" fontId="0" fillId="33" borderId="10" xfId="0" applyNumberFormat="1" applyFill="1" applyBorder="1" applyAlignment="1">
      <alignment horizontal="right" vertical="center"/>
    </xf>
    <xf numFmtId="176" fontId="0" fillId="0" borderId="10" xfId="0" applyNumberFormat="1" applyBorder="1" applyAlignment="1">
      <alignment vertical="center"/>
    </xf>
    <xf numFmtId="176" fontId="0" fillId="0" borderId="0" xfId="0" applyNumberFormat="1" applyAlignment="1">
      <alignment vertical="center"/>
    </xf>
    <xf numFmtId="0" fontId="0" fillId="0" borderId="0" xfId="0" applyBorder="1" applyAlignment="1">
      <alignment vertical="center"/>
    </xf>
    <xf numFmtId="38" fontId="0" fillId="0" borderId="0" xfId="49" applyFont="1" applyBorder="1" applyAlignment="1">
      <alignment vertical="center"/>
    </xf>
    <xf numFmtId="38" fontId="0" fillId="33" borderId="0" xfId="49" applyFill="1" applyBorder="1" applyAlignment="1" applyProtection="1">
      <alignment vertical="center"/>
      <protection/>
    </xf>
    <xf numFmtId="0" fontId="0" fillId="0" borderId="11" xfId="0" applyBorder="1" applyAlignment="1">
      <alignment horizontal="center" vertical="center"/>
    </xf>
    <xf numFmtId="38" fontId="6" fillId="0" borderId="0" xfId="49" applyNumberFormat="1" applyFont="1" applyAlignment="1">
      <alignment vertical="center"/>
    </xf>
    <xf numFmtId="0" fontId="5" fillId="0" borderId="0" xfId="0" applyFont="1" applyAlignment="1">
      <alignment horizontal="center" vertical="center"/>
    </xf>
    <xf numFmtId="38" fontId="6" fillId="0" borderId="0" xfId="49" applyNumberFormat="1" applyFont="1" applyFill="1" applyAlignment="1">
      <alignment vertical="center"/>
    </xf>
    <xf numFmtId="38" fontId="6" fillId="0" borderId="0" xfId="49" applyFont="1" applyAlignment="1">
      <alignment vertical="center"/>
    </xf>
    <xf numFmtId="9" fontId="6" fillId="0" borderId="0" xfId="42" applyFont="1" applyAlignment="1">
      <alignment vertical="center"/>
    </xf>
    <xf numFmtId="38" fontId="6" fillId="33" borderId="0" xfId="49" applyNumberFormat="1" applyFont="1" applyFill="1" applyAlignment="1">
      <alignment vertical="center"/>
    </xf>
    <xf numFmtId="0" fontId="0" fillId="0" borderId="0" xfId="0" applyFill="1" applyAlignment="1">
      <alignment vertical="center"/>
    </xf>
    <xf numFmtId="0" fontId="0" fillId="0" borderId="0" xfId="0" applyFont="1" applyFill="1" applyAlignment="1" applyProtection="1">
      <alignment vertical="center"/>
      <protection/>
    </xf>
    <xf numFmtId="0" fontId="0" fillId="0" borderId="10" xfId="0" applyFont="1" applyFill="1" applyBorder="1" applyAlignment="1" applyProtection="1">
      <alignment vertical="center"/>
      <protection/>
    </xf>
    <xf numFmtId="0" fontId="0" fillId="34" borderId="0" xfId="0" applyFill="1" applyAlignment="1">
      <alignment horizontal="center" vertical="center"/>
    </xf>
    <xf numFmtId="0" fontId="0" fillId="0" borderId="12" xfId="0" applyFont="1" applyFill="1" applyBorder="1" applyAlignment="1" applyProtection="1">
      <alignment vertical="center"/>
      <protection/>
    </xf>
    <xf numFmtId="0" fontId="0" fillId="0" borderId="12" xfId="0" applyBorder="1" applyAlignment="1">
      <alignment vertical="center"/>
    </xf>
    <xf numFmtId="57" fontId="0" fillId="0" borderId="12" xfId="0" applyNumberFormat="1" applyBorder="1" applyAlignment="1">
      <alignment vertical="center"/>
    </xf>
    <xf numFmtId="176" fontId="0" fillId="0" borderId="12" xfId="0" applyNumberFormat="1" applyBorder="1" applyAlignment="1">
      <alignment vertical="center"/>
    </xf>
    <xf numFmtId="0" fontId="0" fillId="0" borderId="12" xfId="0" applyNumberFormat="1" applyBorder="1" applyAlignment="1">
      <alignment vertical="center"/>
    </xf>
    <xf numFmtId="0" fontId="0" fillId="0" borderId="0" xfId="0" applyFont="1" applyFill="1" applyBorder="1" applyAlignment="1" applyProtection="1">
      <alignment vertical="center"/>
      <protection/>
    </xf>
    <xf numFmtId="57"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38" fontId="0" fillId="0" borderId="0" xfId="0" applyNumberFormat="1" applyBorder="1" applyAlignment="1">
      <alignment vertical="center"/>
    </xf>
    <xf numFmtId="38" fontId="0" fillId="0" borderId="0" xfId="0" applyNumberFormat="1" applyFill="1" applyBorder="1" applyAlignment="1">
      <alignment vertical="center"/>
    </xf>
    <xf numFmtId="0" fontId="0" fillId="0" borderId="0" xfId="0" applyFill="1" applyBorder="1" applyAlignment="1">
      <alignment horizontal="center" vertical="center"/>
    </xf>
    <xf numFmtId="0" fontId="0" fillId="33" borderId="10" xfId="0" applyFont="1" applyFill="1" applyBorder="1" applyAlignment="1" applyProtection="1">
      <alignment horizontal="center" vertical="center"/>
      <protection/>
    </xf>
    <xf numFmtId="0" fontId="0" fillId="0" borderId="13" xfId="0" applyBorder="1" applyAlignment="1">
      <alignment vertical="center"/>
    </xf>
    <xf numFmtId="0" fontId="0" fillId="0" borderId="14" xfId="0" applyFont="1" applyFill="1" applyBorder="1" applyAlignment="1" applyProtection="1">
      <alignment vertical="center"/>
      <protection/>
    </xf>
    <xf numFmtId="0" fontId="0" fillId="0" borderId="15" xfId="0" applyBorder="1" applyAlignment="1">
      <alignment vertical="center"/>
    </xf>
    <xf numFmtId="0" fontId="0" fillId="0" borderId="13" xfId="0" applyBorder="1" applyAlignment="1">
      <alignment horizontal="center" vertical="center"/>
    </xf>
    <xf numFmtId="0" fontId="0" fillId="0" borderId="14" xfId="0" applyBorder="1" applyAlignment="1">
      <alignment horizontal="righ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pplyProtection="1">
      <alignment horizontal="left" vertical="center"/>
      <protection locked="0"/>
    </xf>
    <xf numFmtId="0" fontId="0" fillId="33" borderId="0" xfId="0" applyFill="1" applyAlignment="1">
      <alignment vertical="center"/>
    </xf>
    <xf numFmtId="0" fontId="4" fillId="34"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Alignment="1">
      <alignment horizontal="left" vertical="center"/>
    </xf>
    <xf numFmtId="38" fontId="0" fillId="0" borderId="0" xfId="49" applyFont="1" applyAlignment="1">
      <alignment horizontal="righ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wrapText="1"/>
    </xf>
    <xf numFmtId="38" fontId="10" fillId="0" borderId="10" xfId="49" applyFont="1" applyBorder="1" applyAlignment="1">
      <alignment vertical="center"/>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indent="1"/>
    </xf>
    <xf numFmtId="0" fontId="10" fillId="0" borderId="0" xfId="0" applyFont="1" applyAlignment="1">
      <alignment horizontal="centerContinuous" vertical="center"/>
    </xf>
    <xf numFmtId="0" fontId="12" fillId="0" borderId="0" xfId="0" applyFont="1" applyAlignment="1">
      <alignment horizontal="left" vertical="center" indent="1"/>
    </xf>
    <xf numFmtId="0" fontId="13" fillId="0" borderId="0" xfId="0" applyFont="1" applyAlignment="1">
      <alignment horizontal="centerContinuous" vertical="top"/>
    </xf>
    <xf numFmtId="38" fontId="0" fillId="0" borderId="10" xfId="0" applyNumberFormat="1" applyBorder="1" applyAlignment="1">
      <alignment vertical="center"/>
    </xf>
    <xf numFmtId="0" fontId="0" fillId="0" borderId="15" xfId="0" applyBorder="1" applyAlignment="1">
      <alignment horizontal="center" vertical="center"/>
    </xf>
    <xf numFmtId="38" fontId="0" fillId="35" borderId="0" xfId="0" applyNumberFormat="1" applyFont="1" applyFill="1" applyAlignment="1">
      <alignment vertical="center"/>
    </xf>
    <xf numFmtId="0" fontId="0" fillId="35" borderId="0" xfId="0" applyFont="1" applyFill="1" applyAlignment="1">
      <alignment vertical="center"/>
    </xf>
    <xf numFmtId="38" fontId="0" fillId="35" borderId="0" xfId="49" applyFont="1" applyFill="1" applyAlignment="1">
      <alignment vertical="center"/>
    </xf>
    <xf numFmtId="38" fontId="0" fillId="35" borderId="0" xfId="0" applyNumberFormat="1" applyFill="1" applyAlignment="1">
      <alignment vertical="center"/>
    </xf>
    <xf numFmtId="0" fontId="13" fillId="0" borderId="0" xfId="0" applyFont="1" applyAlignment="1">
      <alignment vertical="center"/>
    </xf>
    <xf numFmtId="0" fontId="14" fillId="0" borderId="0" xfId="0" applyFont="1" applyAlignment="1">
      <alignment horizontal="left" vertical="center" indent="1"/>
    </xf>
    <xf numFmtId="0" fontId="16" fillId="0" borderId="0" xfId="0" applyFont="1" applyAlignment="1">
      <alignment horizontal="left" vertical="center"/>
    </xf>
    <xf numFmtId="0" fontId="13" fillId="34" borderId="16" xfId="0" applyFont="1" applyFill="1" applyBorder="1" applyAlignment="1">
      <alignment vertical="center"/>
    </xf>
    <xf numFmtId="0" fontId="0" fillId="36" borderId="0" xfId="0" applyFill="1" applyAlignment="1">
      <alignment vertical="center"/>
    </xf>
    <xf numFmtId="0" fontId="0" fillId="36" borderId="0" xfId="0" applyFill="1" applyAlignment="1">
      <alignment horizontal="center" vertical="center"/>
    </xf>
    <xf numFmtId="179" fontId="63" fillId="0" borderId="0" xfId="0" applyNumberFormat="1" applyFont="1" applyAlignment="1">
      <alignment horizontal="left" vertical="center"/>
    </xf>
    <xf numFmtId="10" fontId="10" fillId="0" borderId="10" xfId="0" applyNumberFormat="1" applyFont="1" applyBorder="1" applyAlignment="1">
      <alignment vertical="center"/>
    </xf>
    <xf numFmtId="0" fontId="0" fillId="36" borderId="0" xfId="0" applyFill="1" applyBorder="1" applyAlignment="1">
      <alignment vertical="center"/>
    </xf>
    <xf numFmtId="10" fontId="0" fillId="35" borderId="0" xfId="0" applyNumberFormat="1" applyFont="1" applyFill="1" applyAlignment="1">
      <alignment vertical="center"/>
    </xf>
    <xf numFmtId="10" fontId="0" fillId="35" borderId="0" xfId="42" applyNumberFormat="1" applyFont="1" applyFill="1" applyAlignment="1">
      <alignment vertical="center"/>
    </xf>
    <xf numFmtId="0" fontId="0" fillId="0" borderId="0" xfId="49" applyNumberFormat="1" applyFont="1" applyAlignment="1">
      <alignment vertical="center"/>
    </xf>
    <xf numFmtId="38" fontId="64" fillId="0" borderId="0" xfId="49" applyFont="1" applyBorder="1" applyAlignment="1">
      <alignment vertical="center"/>
    </xf>
    <xf numFmtId="0" fontId="64" fillId="0" borderId="0" xfId="0" applyFont="1" applyBorder="1" applyAlignment="1">
      <alignment vertical="center"/>
    </xf>
    <xf numFmtId="0" fontId="64" fillId="0" borderId="0" xfId="0" applyFont="1" applyFill="1" applyBorder="1" applyAlignment="1">
      <alignment vertical="center"/>
    </xf>
    <xf numFmtId="38" fontId="64" fillId="0" borderId="0" xfId="49" applyFont="1" applyFill="1" applyBorder="1" applyAlignment="1">
      <alignment vertical="center"/>
    </xf>
    <xf numFmtId="38" fontId="6" fillId="0" borderId="17" xfId="49" applyFont="1" applyBorder="1" applyAlignment="1">
      <alignment vertical="center"/>
    </xf>
    <xf numFmtId="9" fontId="6" fillId="0" borderId="18" xfId="42" applyFont="1" applyBorder="1" applyAlignment="1">
      <alignment vertical="center"/>
    </xf>
    <xf numFmtId="38" fontId="6" fillId="0" borderId="19" xfId="49" applyFont="1" applyBorder="1" applyAlignment="1">
      <alignment vertical="center"/>
    </xf>
    <xf numFmtId="38" fontId="6" fillId="0" borderId="20" xfId="49" applyFont="1" applyBorder="1" applyAlignment="1">
      <alignment vertical="center"/>
    </xf>
    <xf numFmtId="9" fontId="6" fillId="0" borderId="0" xfId="42" applyFont="1" applyBorder="1" applyAlignment="1">
      <alignment vertical="center"/>
    </xf>
    <xf numFmtId="38" fontId="6" fillId="0" borderId="21" xfId="49" applyFont="1" applyBorder="1" applyAlignment="1">
      <alignment vertical="center"/>
    </xf>
    <xf numFmtId="38" fontId="6" fillId="0" borderId="22" xfId="49" applyFont="1" applyBorder="1" applyAlignment="1">
      <alignment vertical="center"/>
    </xf>
    <xf numFmtId="9" fontId="6" fillId="0" borderId="23" xfId="42" applyFont="1" applyBorder="1" applyAlignment="1">
      <alignment vertical="center"/>
    </xf>
    <xf numFmtId="38" fontId="6" fillId="0" borderId="24" xfId="49" applyFont="1" applyBorder="1" applyAlignment="1">
      <alignment vertical="center"/>
    </xf>
    <xf numFmtId="38" fontId="0" fillId="36" borderId="0" xfId="49" applyFont="1" applyFill="1" applyBorder="1" applyAlignment="1">
      <alignment vertical="center"/>
    </xf>
    <xf numFmtId="0" fontId="0" fillId="0" borderId="25" xfId="0" applyFill="1" applyBorder="1" applyAlignment="1">
      <alignment horizontal="center" vertical="center"/>
    </xf>
    <xf numFmtId="38" fontId="4" fillId="0" borderId="25" xfId="49" applyFont="1" applyFill="1" applyBorder="1" applyAlignment="1" applyProtection="1">
      <alignment vertical="center"/>
      <protection locked="0"/>
    </xf>
    <xf numFmtId="0" fontId="65" fillId="0" borderId="0" xfId="0" applyFont="1" applyBorder="1" applyAlignment="1">
      <alignment vertical="center"/>
    </xf>
    <xf numFmtId="38" fontId="66" fillId="0" borderId="0" xfId="49" applyFont="1" applyBorder="1" applyAlignment="1">
      <alignment vertical="center"/>
    </xf>
    <xf numFmtId="38" fontId="0" fillId="0" borderId="0" xfId="0" applyNumberFormat="1" applyFont="1" applyBorder="1" applyAlignment="1">
      <alignment vertical="center"/>
    </xf>
    <xf numFmtId="38" fontId="0" fillId="0" borderId="0" xfId="0" applyNumberFormat="1" applyFont="1" applyFill="1" applyBorder="1" applyAlignment="1">
      <alignment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38" fontId="0" fillId="0" borderId="26" xfId="49" applyFont="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0" borderId="10" xfId="0" applyBorder="1" applyAlignment="1">
      <alignment horizontal="center" vertical="center"/>
    </xf>
    <xf numFmtId="0" fontId="0" fillId="36" borderId="30" xfId="0" applyFill="1" applyBorder="1" applyAlignment="1">
      <alignment horizontal="center" vertical="center"/>
    </xf>
    <xf numFmtId="0" fontId="0" fillId="36" borderId="31" xfId="0" applyFill="1" applyBorder="1" applyAlignment="1">
      <alignment horizontal="center" vertical="center"/>
    </xf>
    <xf numFmtId="0" fontId="0" fillId="36" borderId="32" xfId="0" applyFill="1" applyBorder="1" applyAlignment="1">
      <alignment horizontal="center" vertical="center"/>
    </xf>
    <xf numFmtId="0" fontId="12" fillId="0" borderId="0" xfId="0" applyFont="1" applyAlignment="1">
      <alignment horizontal="left" vertical="top" wrapText="1" indent="1"/>
    </xf>
    <xf numFmtId="0" fontId="10" fillId="0" borderId="0" xfId="0" applyFont="1" applyAlignment="1">
      <alignment horizontal="left"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2" fillId="0" borderId="0" xfId="0" applyFont="1" applyAlignment="1">
      <alignment horizontal="left" vertical="center" wrapText="1" indent="2"/>
    </xf>
    <xf numFmtId="0" fontId="10" fillId="0" borderId="13" xfId="0" applyFont="1" applyBorder="1" applyAlignment="1">
      <alignment horizontal="center" vertical="center"/>
    </xf>
    <xf numFmtId="0" fontId="10" fillId="0" borderId="15" xfId="0" applyFont="1" applyBorder="1" applyAlignment="1">
      <alignment horizontal="center" vertical="center"/>
    </xf>
    <xf numFmtId="38" fontId="0" fillId="0" borderId="0"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123825</xdr:rowOff>
    </xdr:from>
    <xdr:to>
      <xdr:col>7</xdr:col>
      <xdr:colOff>352425</xdr:colOff>
      <xdr:row>45</xdr:row>
      <xdr:rowOff>152400</xdr:rowOff>
    </xdr:to>
    <xdr:pic>
      <xdr:nvPicPr>
        <xdr:cNvPr id="1" name="Picture 13" descr="源泉徴収表"/>
        <xdr:cNvPicPr preferRelativeResize="1">
          <a:picLocks noChangeAspect="1"/>
        </xdr:cNvPicPr>
      </xdr:nvPicPr>
      <xdr:blipFill>
        <a:blip r:embed="rId1"/>
        <a:stretch>
          <a:fillRect/>
        </a:stretch>
      </xdr:blipFill>
      <xdr:spPr>
        <a:xfrm>
          <a:off x="0" y="7324725"/>
          <a:ext cx="5153025" cy="3600450"/>
        </a:xfrm>
        <a:prstGeom prst="rect">
          <a:avLst/>
        </a:prstGeom>
        <a:noFill/>
        <a:ln w="9525" cmpd="sng">
          <a:noFill/>
        </a:ln>
      </xdr:spPr>
    </xdr:pic>
    <xdr:clientData/>
  </xdr:twoCellAnchor>
  <xdr:twoCellAnchor editAs="oneCell">
    <xdr:from>
      <xdr:col>7</xdr:col>
      <xdr:colOff>457200</xdr:colOff>
      <xdr:row>30</xdr:row>
      <xdr:rowOff>76200</xdr:rowOff>
    </xdr:from>
    <xdr:to>
      <xdr:col>14</xdr:col>
      <xdr:colOff>809625</xdr:colOff>
      <xdr:row>45</xdr:row>
      <xdr:rowOff>104775</xdr:rowOff>
    </xdr:to>
    <xdr:pic>
      <xdr:nvPicPr>
        <xdr:cNvPr id="2" name="Picture 14" descr="源泉徴収表2"/>
        <xdr:cNvPicPr preferRelativeResize="1">
          <a:picLocks noChangeAspect="1"/>
        </xdr:cNvPicPr>
      </xdr:nvPicPr>
      <xdr:blipFill>
        <a:blip r:embed="rId2"/>
        <a:stretch>
          <a:fillRect/>
        </a:stretch>
      </xdr:blipFill>
      <xdr:spPr>
        <a:xfrm>
          <a:off x="5257800" y="7277100"/>
          <a:ext cx="5153025" cy="3600450"/>
        </a:xfrm>
        <a:prstGeom prst="rect">
          <a:avLst/>
        </a:prstGeom>
        <a:noFill/>
        <a:ln w="9525" cmpd="sng">
          <a:noFill/>
        </a:ln>
      </xdr:spPr>
    </xdr:pic>
    <xdr:clientData/>
  </xdr:twoCellAnchor>
  <xdr:twoCellAnchor>
    <xdr:from>
      <xdr:col>8</xdr:col>
      <xdr:colOff>657225</xdr:colOff>
      <xdr:row>34</xdr:row>
      <xdr:rowOff>104775</xdr:rowOff>
    </xdr:from>
    <xdr:to>
      <xdr:col>10</xdr:col>
      <xdr:colOff>409575</xdr:colOff>
      <xdr:row>35</xdr:row>
      <xdr:rowOff>228600</xdr:rowOff>
    </xdr:to>
    <xdr:sp>
      <xdr:nvSpPr>
        <xdr:cNvPr id="3" name="Rectangle 11"/>
        <xdr:cNvSpPr>
          <a:spLocks/>
        </xdr:cNvSpPr>
      </xdr:nvSpPr>
      <xdr:spPr>
        <a:xfrm>
          <a:off x="6143625" y="8258175"/>
          <a:ext cx="1123950" cy="3619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29</xdr:row>
      <xdr:rowOff>0</xdr:rowOff>
    </xdr:from>
    <xdr:to>
      <xdr:col>7</xdr:col>
      <xdr:colOff>447675</xdr:colOff>
      <xdr:row>34</xdr:row>
      <xdr:rowOff>104775</xdr:rowOff>
    </xdr:to>
    <xdr:sp>
      <xdr:nvSpPr>
        <xdr:cNvPr id="4" name="Line 15"/>
        <xdr:cNvSpPr>
          <a:spLocks/>
        </xdr:cNvSpPr>
      </xdr:nvSpPr>
      <xdr:spPr>
        <a:xfrm flipH="1">
          <a:off x="1743075" y="6962775"/>
          <a:ext cx="3505200" cy="129540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36</xdr:row>
      <xdr:rowOff>66675</xdr:rowOff>
    </xdr:from>
    <xdr:to>
      <xdr:col>9</xdr:col>
      <xdr:colOff>104775</xdr:colOff>
      <xdr:row>47</xdr:row>
      <xdr:rowOff>0</xdr:rowOff>
    </xdr:to>
    <xdr:sp>
      <xdr:nvSpPr>
        <xdr:cNvPr id="5" name="Line 16"/>
        <xdr:cNvSpPr>
          <a:spLocks/>
        </xdr:cNvSpPr>
      </xdr:nvSpPr>
      <xdr:spPr>
        <a:xfrm flipH="1" flipV="1">
          <a:off x="1762125" y="8696325"/>
          <a:ext cx="4514850" cy="2552700"/>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36</xdr:row>
      <xdr:rowOff>9525</xdr:rowOff>
    </xdr:from>
    <xdr:to>
      <xdr:col>9</xdr:col>
      <xdr:colOff>561975</xdr:colOff>
      <xdr:row>47</xdr:row>
      <xdr:rowOff>28575</xdr:rowOff>
    </xdr:to>
    <xdr:sp>
      <xdr:nvSpPr>
        <xdr:cNvPr id="6" name="Line 17"/>
        <xdr:cNvSpPr>
          <a:spLocks/>
        </xdr:cNvSpPr>
      </xdr:nvSpPr>
      <xdr:spPr>
        <a:xfrm flipV="1">
          <a:off x="6286500" y="8639175"/>
          <a:ext cx="447675" cy="26384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34</xdr:row>
      <xdr:rowOff>123825</xdr:rowOff>
    </xdr:from>
    <xdr:to>
      <xdr:col>2</xdr:col>
      <xdr:colOff>657225</xdr:colOff>
      <xdr:row>36</xdr:row>
      <xdr:rowOff>9525</xdr:rowOff>
    </xdr:to>
    <xdr:sp>
      <xdr:nvSpPr>
        <xdr:cNvPr id="7" name="Rectangle 18"/>
        <xdr:cNvSpPr>
          <a:spLocks/>
        </xdr:cNvSpPr>
      </xdr:nvSpPr>
      <xdr:spPr>
        <a:xfrm>
          <a:off x="904875" y="8277225"/>
          <a:ext cx="1123950" cy="3619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371475</xdr:colOff>
      <xdr:row>55</xdr:row>
      <xdr:rowOff>104775</xdr:rowOff>
    </xdr:from>
    <xdr:to>
      <xdr:col>13</xdr:col>
      <xdr:colOff>104775</xdr:colOff>
      <xdr:row>72</xdr:row>
      <xdr:rowOff>190500</xdr:rowOff>
    </xdr:to>
    <xdr:pic>
      <xdr:nvPicPr>
        <xdr:cNvPr id="8" name="Picture 20" descr="年金源泉"/>
        <xdr:cNvPicPr preferRelativeResize="1">
          <a:picLocks noChangeAspect="1"/>
        </xdr:cNvPicPr>
      </xdr:nvPicPr>
      <xdr:blipFill>
        <a:blip r:embed="rId3"/>
        <a:stretch>
          <a:fillRect/>
        </a:stretch>
      </xdr:blipFill>
      <xdr:spPr>
        <a:xfrm>
          <a:off x="371475" y="13287375"/>
          <a:ext cx="8648700" cy="4133850"/>
        </a:xfrm>
        <a:prstGeom prst="rect">
          <a:avLst/>
        </a:prstGeom>
        <a:noFill/>
        <a:ln w="9525" cmpd="sng">
          <a:noFill/>
        </a:ln>
      </xdr:spPr>
    </xdr:pic>
    <xdr:clientData/>
  </xdr:twoCellAnchor>
  <xdr:twoCellAnchor>
    <xdr:from>
      <xdr:col>1</xdr:col>
      <xdr:colOff>142875</xdr:colOff>
      <xdr:row>61</xdr:row>
      <xdr:rowOff>0</xdr:rowOff>
    </xdr:from>
    <xdr:to>
      <xdr:col>3</xdr:col>
      <xdr:colOff>142875</xdr:colOff>
      <xdr:row>62</xdr:row>
      <xdr:rowOff>104775</xdr:rowOff>
    </xdr:to>
    <xdr:sp>
      <xdr:nvSpPr>
        <xdr:cNvPr id="9" name="Rectangle 21"/>
        <xdr:cNvSpPr>
          <a:spLocks/>
        </xdr:cNvSpPr>
      </xdr:nvSpPr>
      <xdr:spPr>
        <a:xfrm>
          <a:off x="828675" y="14611350"/>
          <a:ext cx="1371600" cy="3429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533400</xdr:colOff>
      <xdr:row>60</xdr:row>
      <xdr:rowOff>142875</xdr:rowOff>
    </xdr:from>
    <xdr:to>
      <xdr:col>10</xdr:col>
      <xdr:colOff>638175</xdr:colOff>
      <xdr:row>62</xdr:row>
      <xdr:rowOff>200025</xdr:rowOff>
    </xdr:to>
    <xdr:sp>
      <xdr:nvSpPr>
        <xdr:cNvPr id="10" name="Rectangle 22"/>
        <xdr:cNvSpPr>
          <a:spLocks/>
        </xdr:cNvSpPr>
      </xdr:nvSpPr>
      <xdr:spPr>
        <a:xfrm>
          <a:off x="6019800" y="14516100"/>
          <a:ext cx="1476375" cy="5334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55</xdr:row>
      <xdr:rowOff>0</xdr:rowOff>
    </xdr:from>
    <xdr:to>
      <xdr:col>5</xdr:col>
      <xdr:colOff>295275</xdr:colOff>
      <xdr:row>61</xdr:row>
      <xdr:rowOff>0</xdr:rowOff>
    </xdr:to>
    <xdr:sp>
      <xdr:nvSpPr>
        <xdr:cNvPr id="11" name="Line 23"/>
        <xdr:cNvSpPr>
          <a:spLocks/>
        </xdr:cNvSpPr>
      </xdr:nvSpPr>
      <xdr:spPr>
        <a:xfrm flipH="1">
          <a:off x="2200275" y="13182600"/>
          <a:ext cx="1524000" cy="14287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62</xdr:row>
      <xdr:rowOff>104775</xdr:rowOff>
    </xdr:from>
    <xdr:to>
      <xdr:col>11</xdr:col>
      <xdr:colOff>38100</xdr:colOff>
      <xdr:row>73</xdr:row>
      <xdr:rowOff>9525</xdr:rowOff>
    </xdr:to>
    <xdr:sp>
      <xdr:nvSpPr>
        <xdr:cNvPr id="12" name="Line 24"/>
        <xdr:cNvSpPr>
          <a:spLocks/>
        </xdr:cNvSpPr>
      </xdr:nvSpPr>
      <xdr:spPr>
        <a:xfrm flipH="1" flipV="1">
          <a:off x="2200275" y="14954250"/>
          <a:ext cx="5381625" cy="25241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63</xdr:row>
      <xdr:rowOff>0</xdr:rowOff>
    </xdr:from>
    <xdr:to>
      <xdr:col>11</xdr:col>
      <xdr:colOff>47625</xdr:colOff>
      <xdr:row>73</xdr:row>
      <xdr:rowOff>9525</xdr:rowOff>
    </xdr:to>
    <xdr:sp>
      <xdr:nvSpPr>
        <xdr:cNvPr id="13" name="Line 25"/>
        <xdr:cNvSpPr>
          <a:spLocks/>
        </xdr:cNvSpPr>
      </xdr:nvSpPr>
      <xdr:spPr>
        <a:xfrm flipH="1" flipV="1">
          <a:off x="7229475" y="15087600"/>
          <a:ext cx="361950" cy="239077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82</xdr:row>
      <xdr:rowOff>0</xdr:rowOff>
    </xdr:from>
    <xdr:to>
      <xdr:col>8</xdr:col>
      <xdr:colOff>9525</xdr:colOff>
      <xdr:row>98</xdr:row>
      <xdr:rowOff>19050</xdr:rowOff>
    </xdr:to>
    <xdr:pic>
      <xdr:nvPicPr>
        <xdr:cNvPr id="14" name="Picture 28" descr="申告書2"/>
        <xdr:cNvPicPr preferRelativeResize="1">
          <a:picLocks noChangeAspect="1"/>
        </xdr:cNvPicPr>
      </xdr:nvPicPr>
      <xdr:blipFill>
        <a:blip r:embed="rId4"/>
        <a:stretch>
          <a:fillRect/>
        </a:stretch>
      </xdr:blipFill>
      <xdr:spPr>
        <a:xfrm>
          <a:off x="0" y="19640550"/>
          <a:ext cx="5495925" cy="3829050"/>
        </a:xfrm>
        <a:prstGeom prst="rect">
          <a:avLst/>
        </a:prstGeom>
        <a:noFill/>
        <a:ln w="9525" cmpd="sng">
          <a:noFill/>
        </a:ln>
      </xdr:spPr>
    </xdr:pic>
    <xdr:clientData/>
  </xdr:twoCellAnchor>
  <xdr:twoCellAnchor editAs="oneCell">
    <xdr:from>
      <xdr:col>8</xdr:col>
      <xdr:colOff>152400</xdr:colOff>
      <xdr:row>83</xdr:row>
      <xdr:rowOff>0</xdr:rowOff>
    </xdr:from>
    <xdr:to>
      <xdr:col>14</xdr:col>
      <xdr:colOff>733425</xdr:colOff>
      <xdr:row>96</xdr:row>
      <xdr:rowOff>171450</xdr:rowOff>
    </xdr:to>
    <xdr:pic>
      <xdr:nvPicPr>
        <xdr:cNvPr id="15" name="Picture 29" descr="申告書（分離）2"/>
        <xdr:cNvPicPr preferRelativeResize="1">
          <a:picLocks noChangeAspect="1"/>
        </xdr:cNvPicPr>
      </xdr:nvPicPr>
      <xdr:blipFill>
        <a:blip r:embed="rId5"/>
        <a:stretch>
          <a:fillRect/>
        </a:stretch>
      </xdr:blipFill>
      <xdr:spPr>
        <a:xfrm>
          <a:off x="5638800" y="19878675"/>
          <a:ext cx="4695825" cy="3267075"/>
        </a:xfrm>
        <a:prstGeom prst="rect">
          <a:avLst/>
        </a:prstGeom>
        <a:noFill/>
        <a:ln w="9525" cmpd="sng">
          <a:noFill/>
        </a:ln>
      </xdr:spPr>
    </xdr:pic>
    <xdr:clientData/>
  </xdr:twoCellAnchor>
  <xdr:twoCellAnchor>
    <xdr:from>
      <xdr:col>1</xdr:col>
      <xdr:colOff>647700</xdr:colOff>
      <xdr:row>95</xdr:row>
      <xdr:rowOff>200025</xdr:rowOff>
    </xdr:from>
    <xdr:to>
      <xdr:col>3</xdr:col>
      <xdr:colOff>647700</xdr:colOff>
      <xdr:row>96</xdr:row>
      <xdr:rowOff>180975</xdr:rowOff>
    </xdr:to>
    <xdr:sp>
      <xdr:nvSpPr>
        <xdr:cNvPr id="16" name="Rectangle 30"/>
        <xdr:cNvSpPr>
          <a:spLocks/>
        </xdr:cNvSpPr>
      </xdr:nvSpPr>
      <xdr:spPr>
        <a:xfrm>
          <a:off x="1333500" y="22936200"/>
          <a:ext cx="1371600" cy="2190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89</xdr:row>
      <xdr:rowOff>104775</xdr:rowOff>
    </xdr:from>
    <xdr:to>
      <xdr:col>11</xdr:col>
      <xdr:colOff>466725</xdr:colOff>
      <xdr:row>95</xdr:row>
      <xdr:rowOff>142875</xdr:rowOff>
    </xdr:to>
    <xdr:sp>
      <xdr:nvSpPr>
        <xdr:cNvPr id="17" name="Rectangle 31"/>
        <xdr:cNvSpPr>
          <a:spLocks/>
        </xdr:cNvSpPr>
      </xdr:nvSpPr>
      <xdr:spPr>
        <a:xfrm>
          <a:off x="6638925" y="21412200"/>
          <a:ext cx="1371600" cy="14668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80</xdr:row>
      <xdr:rowOff>38100</xdr:rowOff>
    </xdr:from>
    <xdr:to>
      <xdr:col>9</xdr:col>
      <xdr:colOff>485775</xdr:colOff>
      <xdr:row>95</xdr:row>
      <xdr:rowOff>152400</xdr:rowOff>
    </xdr:to>
    <xdr:sp>
      <xdr:nvSpPr>
        <xdr:cNvPr id="18" name="Line 32"/>
        <xdr:cNvSpPr>
          <a:spLocks/>
        </xdr:cNvSpPr>
      </xdr:nvSpPr>
      <xdr:spPr>
        <a:xfrm flipH="1">
          <a:off x="2676525" y="19202400"/>
          <a:ext cx="3981450" cy="36861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571500</xdr:colOff>
      <xdr:row>95</xdr:row>
      <xdr:rowOff>152400</xdr:rowOff>
    </xdr:from>
    <xdr:to>
      <xdr:col>10</xdr:col>
      <xdr:colOff>571500</xdr:colOff>
      <xdr:row>99</xdr:row>
      <xdr:rowOff>0</xdr:rowOff>
    </xdr:to>
    <xdr:sp>
      <xdr:nvSpPr>
        <xdr:cNvPr id="19" name="Line 33"/>
        <xdr:cNvSpPr>
          <a:spLocks/>
        </xdr:cNvSpPr>
      </xdr:nvSpPr>
      <xdr:spPr>
        <a:xfrm flipV="1">
          <a:off x="6743700" y="22888575"/>
          <a:ext cx="685800" cy="80010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47</xdr:row>
      <xdr:rowOff>0</xdr:rowOff>
    </xdr:from>
    <xdr:to>
      <xdr:col>12</xdr:col>
      <xdr:colOff>523875</xdr:colOff>
      <xdr:row>48</xdr:row>
      <xdr:rowOff>28575</xdr:rowOff>
    </xdr:to>
    <xdr:sp>
      <xdr:nvSpPr>
        <xdr:cNvPr id="20" name="Rectangle 36"/>
        <xdr:cNvSpPr>
          <a:spLocks/>
        </xdr:cNvSpPr>
      </xdr:nvSpPr>
      <xdr:spPr>
        <a:xfrm>
          <a:off x="2028825" y="11249025"/>
          <a:ext cx="672465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73</xdr:row>
      <xdr:rowOff>9525</xdr:rowOff>
    </xdr:from>
    <xdr:to>
      <xdr:col>14</xdr:col>
      <xdr:colOff>523875</xdr:colOff>
      <xdr:row>74</xdr:row>
      <xdr:rowOff>28575</xdr:rowOff>
    </xdr:to>
    <xdr:sp>
      <xdr:nvSpPr>
        <xdr:cNvPr id="21" name="Rectangle 37"/>
        <xdr:cNvSpPr>
          <a:spLocks/>
        </xdr:cNvSpPr>
      </xdr:nvSpPr>
      <xdr:spPr>
        <a:xfrm>
          <a:off x="3429000" y="17478375"/>
          <a:ext cx="6696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66675</xdr:colOff>
      <xdr:row>5</xdr:row>
      <xdr:rowOff>38100</xdr:rowOff>
    </xdr:from>
    <xdr:to>
      <xdr:col>14</xdr:col>
      <xdr:colOff>790575</xdr:colOff>
      <xdr:row>18</xdr:row>
      <xdr:rowOff>76200</xdr:rowOff>
    </xdr:to>
    <xdr:pic>
      <xdr:nvPicPr>
        <xdr:cNvPr id="22" name="Picture 44" descr="入力欄"/>
        <xdr:cNvPicPr preferRelativeResize="1">
          <a:picLocks noChangeAspect="1"/>
        </xdr:cNvPicPr>
      </xdr:nvPicPr>
      <xdr:blipFill>
        <a:blip r:embed="rId6"/>
        <a:stretch>
          <a:fillRect/>
        </a:stretch>
      </xdr:blipFill>
      <xdr:spPr>
        <a:xfrm>
          <a:off x="66675" y="1257300"/>
          <a:ext cx="10325100" cy="3133725"/>
        </a:xfrm>
        <a:prstGeom prst="rect">
          <a:avLst/>
        </a:prstGeom>
        <a:noFill/>
        <a:ln w="9525" cmpd="sng">
          <a:noFill/>
        </a:ln>
      </xdr:spPr>
    </xdr:pic>
    <xdr:clientData/>
  </xdr:twoCellAnchor>
  <xdr:twoCellAnchor>
    <xdr:from>
      <xdr:col>7</xdr:col>
      <xdr:colOff>647700</xdr:colOff>
      <xdr:row>9</xdr:row>
      <xdr:rowOff>9525</xdr:rowOff>
    </xdr:from>
    <xdr:to>
      <xdr:col>9</xdr:col>
      <xdr:colOff>238125</xdr:colOff>
      <xdr:row>14</xdr:row>
      <xdr:rowOff>76200</xdr:rowOff>
    </xdr:to>
    <xdr:sp>
      <xdr:nvSpPr>
        <xdr:cNvPr id="23" name="Text Box 45"/>
        <xdr:cNvSpPr txBox="1">
          <a:spLocks noChangeArrowheads="1"/>
        </xdr:cNvSpPr>
      </xdr:nvSpPr>
      <xdr:spPr>
        <a:xfrm>
          <a:off x="5448300" y="2181225"/>
          <a:ext cx="962025" cy="1257300"/>
        </a:xfrm>
        <a:prstGeom prst="rect">
          <a:avLst/>
        </a:prstGeom>
        <a:solidFill>
          <a:srgbClr val="FFFFFF"/>
        </a:solidFill>
        <a:ln w="9525" cmpd="sng">
          <a:solidFill>
            <a:srgbClr val="000000"/>
          </a:solidFill>
          <a:headEnd type="none"/>
          <a:tailEnd type="none"/>
        </a:ln>
      </xdr:spPr>
      <xdr:txBody>
        <a:bodyPr vertOverflow="clip" wrap="square" lIns="36000" tIns="36000" rIns="36000" bIns="0"/>
        <a:p>
          <a:pPr algn="l">
            <a:defRPr/>
          </a:pPr>
          <a:r>
            <a:rPr lang="en-US" cap="none" sz="1100" b="0" i="0" u="none" baseline="0">
              <a:solidFill>
                <a:srgbClr val="000000"/>
              </a:solidFill>
              <a:latin typeface="ＭＳ Ｐゴシック"/>
              <a:ea typeface="ＭＳ Ｐゴシック"/>
              <a:cs typeface="ＭＳ Ｐゴシック"/>
            </a:rPr>
            <a:t>（Ａ）給与収入のみ又は給与収入があり、確定申告をしない方を参照してください。</a:t>
          </a:r>
        </a:p>
      </xdr:txBody>
    </xdr:sp>
    <xdr:clientData/>
  </xdr:twoCellAnchor>
  <xdr:twoCellAnchor>
    <xdr:from>
      <xdr:col>9</xdr:col>
      <xdr:colOff>466725</xdr:colOff>
      <xdr:row>9</xdr:row>
      <xdr:rowOff>9525</xdr:rowOff>
    </xdr:from>
    <xdr:to>
      <xdr:col>11</xdr:col>
      <xdr:colOff>114300</xdr:colOff>
      <xdr:row>12</xdr:row>
      <xdr:rowOff>76200</xdr:rowOff>
    </xdr:to>
    <xdr:sp>
      <xdr:nvSpPr>
        <xdr:cNvPr id="24" name="Text Box 46"/>
        <xdr:cNvSpPr txBox="1">
          <a:spLocks noChangeArrowheads="1"/>
        </xdr:cNvSpPr>
      </xdr:nvSpPr>
      <xdr:spPr>
        <a:xfrm>
          <a:off x="6638925" y="2181225"/>
          <a:ext cx="1019175" cy="781050"/>
        </a:xfrm>
        <a:prstGeom prst="rect">
          <a:avLst/>
        </a:prstGeom>
        <a:solidFill>
          <a:srgbClr val="FFFFFF"/>
        </a:solidFill>
        <a:ln w="9525" cmpd="sng">
          <a:solidFill>
            <a:srgbClr val="000000"/>
          </a:solidFill>
          <a:headEnd type="none"/>
          <a:tailEnd type="none"/>
        </a:ln>
      </xdr:spPr>
      <xdr:txBody>
        <a:bodyPr vertOverflow="clip" wrap="square" lIns="36000" tIns="36000" rIns="36000" bIns="0"/>
        <a:p>
          <a:pPr algn="l">
            <a:defRPr/>
          </a:pPr>
          <a:r>
            <a:rPr lang="en-US" cap="none" sz="1100" b="0" i="0" u="none" baseline="0">
              <a:solidFill>
                <a:srgbClr val="000000"/>
              </a:solidFill>
              <a:latin typeface="ＭＳ Ｐゴシック"/>
              <a:ea typeface="ＭＳ Ｐゴシック"/>
              <a:cs typeface="ＭＳ Ｐゴシック"/>
            </a:rPr>
            <a:t>（Ｂ）年金収入のみ又は年金収入を参照してください。</a:t>
          </a:r>
        </a:p>
      </xdr:txBody>
    </xdr:sp>
    <xdr:clientData/>
  </xdr:twoCellAnchor>
  <xdr:twoCellAnchor>
    <xdr:from>
      <xdr:col>11</xdr:col>
      <xdr:colOff>333375</xdr:colOff>
      <xdr:row>9</xdr:row>
      <xdr:rowOff>9525</xdr:rowOff>
    </xdr:from>
    <xdr:to>
      <xdr:col>12</xdr:col>
      <xdr:colOff>581025</xdr:colOff>
      <xdr:row>12</xdr:row>
      <xdr:rowOff>95250</xdr:rowOff>
    </xdr:to>
    <xdr:sp>
      <xdr:nvSpPr>
        <xdr:cNvPr id="25" name="Text Box 47"/>
        <xdr:cNvSpPr txBox="1">
          <a:spLocks noChangeArrowheads="1"/>
        </xdr:cNvSpPr>
      </xdr:nvSpPr>
      <xdr:spPr>
        <a:xfrm>
          <a:off x="7877175" y="2181225"/>
          <a:ext cx="933450" cy="800100"/>
        </a:xfrm>
        <a:prstGeom prst="rect">
          <a:avLst/>
        </a:prstGeom>
        <a:solidFill>
          <a:srgbClr val="FFFFFF"/>
        </a:solidFill>
        <a:ln w="9525" cmpd="sng">
          <a:solidFill>
            <a:srgbClr val="000000"/>
          </a:solidFill>
          <a:headEnd type="none"/>
          <a:tailEnd type="none"/>
        </a:ln>
      </xdr:spPr>
      <xdr:txBody>
        <a:bodyPr vertOverflow="clip" wrap="square" lIns="36000" tIns="36000" rIns="36000" bIns="0"/>
        <a:p>
          <a:pPr algn="l">
            <a:defRPr/>
          </a:pPr>
          <a:r>
            <a:rPr lang="en-US" cap="none" sz="1100" b="0" i="0" u="none" baseline="0">
              <a:solidFill>
                <a:srgbClr val="000000"/>
              </a:solidFill>
              <a:latin typeface="ＭＳ Ｐゴシック"/>
              <a:ea typeface="ＭＳ Ｐゴシック"/>
              <a:cs typeface="ＭＳ Ｐゴシック"/>
            </a:rPr>
            <a:t>（Ｃ）確定申告をされた方を参照してください。</a:t>
          </a:r>
        </a:p>
      </xdr:txBody>
    </xdr:sp>
    <xdr:clientData/>
  </xdr:twoCellAnchor>
  <xdr:twoCellAnchor>
    <xdr:from>
      <xdr:col>3</xdr:col>
      <xdr:colOff>38100</xdr:colOff>
      <xdr:row>17</xdr:row>
      <xdr:rowOff>85725</xdr:rowOff>
    </xdr:from>
    <xdr:to>
      <xdr:col>3</xdr:col>
      <xdr:colOff>647700</xdr:colOff>
      <xdr:row>19</xdr:row>
      <xdr:rowOff>9525</xdr:rowOff>
    </xdr:to>
    <xdr:sp>
      <xdr:nvSpPr>
        <xdr:cNvPr id="26" name="Line 49"/>
        <xdr:cNvSpPr>
          <a:spLocks/>
        </xdr:cNvSpPr>
      </xdr:nvSpPr>
      <xdr:spPr>
        <a:xfrm flipV="1">
          <a:off x="2095500" y="4162425"/>
          <a:ext cx="609600" cy="400050"/>
        </a:xfrm>
        <a:prstGeom prst="line">
          <a:avLst/>
        </a:prstGeom>
        <a:noFill/>
        <a:ln w="28575" cmpd="sng">
          <a:solidFill>
            <a:srgbClr val="0000FF"/>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17</xdr:row>
      <xdr:rowOff>104775</xdr:rowOff>
    </xdr:from>
    <xdr:to>
      <xdr:col>6</xdr:col>
      <xdr:colOff>190500</xdr:colOff>
      <xdr:row>19</xdr:row>
      <xdr:rowOff>28575</xdr:rowOff>
    </xdr:to>
    <xdr:sp>
      <xdr:nvSpPr>
        <xdr:cNvPr id="27" name="Line 50"/>
        <xdr:cNvSpPr>
          <a:spLocks/>
        </xdr:cNvSpPr>
      </xdr:nvSpPr>
      <xdr:spPr>
        <a:xfrm flipV="1">
          <a:off x="3476625" y="4181475"/>
          <a:ext cx="828675" cy="400050"/>
        </a:xfrm>
        <a:prstGeom prst="line">
          <a:avLst/>
        </a:prstGeom>
        <a:noFill/>
        <a:ln w="38100" cmpd="dbl">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4</xdr:row>
      <xdr:rowOff>228600</xdr:rowOff>
    </xdr:from>
    <xdr:to>
      <xdr:col>6</xdr:col>
      <xdr:colOff>57150</xdr:colOff>
      <xdr:row>7</xdr:row>
      <xdr:rowOff>228600</xdr:rowOff>
    </xdr:to>
    <xdr:sp>
      <xdr:nvSpPr>
        <xdr:cNvPr id="28" name="Line 52"/>
        <xdr:cNvSpPr>
          <a:spLocks/>
        </xdr:cNvSpPr>
      </xdr:nvSpPr>
      <xdr:spPr>
        <a:xfrm flipH="1">
          <a:off x="3705225" y="1209675"/>
          <a:ext cx="466725" cy="7143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9</xdr:row>
      <xdr:rowOff>28575</xdr:rowOff>
    </xdr:from>
    <xdr:to>
      <xdr:col>1</xdr:col>
      <xdr:colOff>85725</xdr:colOff>
      <xdr:row>17</xdr:row>
      <xdr:rowOff>76200</xdr:rowOff>
    </xdr:to>
    <xdr:sp>
      <xdr:nvSpPr>
        <xdr:cNvPr id="29" name="AutoShape 53"/>
        <xdr:cNvSpPr>
          <a:spLocks/>
        </xdr:cNvSpPr>
      </xdr:nvSpPr>
      <xdr:spPr>
        <a:xfrm>
          <a:off x="619125" y="2200275"/>
          <a:ext cx="152400" cy="1952625"/>
        </a:xfrm>
        <a:prstGeom prst="leftBracket">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12</xdr:row>
      <xdr:rowOff>142875</xdr:rowOff>
    </xdr:from>
    <xdr:to>
      <xdr:col>0</xdr:col>
      <xdr:colOff>276225</xdr:colOff>
      <xdr:row>25</xdr:row>
      <xdr:rowOff>9525</xdr:rowOff>
    </xdr:to>
    <xdr:sp>
      <xdr:nvSpPr>
        <xdr:cNvPr id="30" name="Line 54"/>
        <xdr:cNvSpPr>
          <a:spLocks/>
        </xdr:cNvSpPr>
      </xdr:nvSpPr>
      <xdr:spPr>
        <a:xfrm flipV="1">
          <a:off x="276225" y="3028950"/>
          <a:ext cx="0" cy="29622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152400</xdr:rowOff>
    </xdr:from>
    <xdr:to>
      <xdr:col>0</xdr:col>
      <xdr:colOff>600075</xdr:colOff>
      <xdr:row>12</xdr:row>
      <xdr:rowOff>152400</xdr:rowOff>
    </xdr:to>
    <xdr:sp>
      <xdr:nvSpPr>
        <xdr:cNvPr id="31" name="Line 55"/>
        <xdr:cNvSpPr>
          <a:spLocks/>
        </xdr:cNvSpPr>
      </xdr:nvSpPr>
      <xdr:spPr>
        <a:xfrm>
          <a:off x="266700" y="3038475"/>
          <a:ext cx="3333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9</xdr:row>
      <xdr:rowOff>38100</xdr:rowOff>
    </xdr:from>
    <xdr:to>
      <xdr:col>1</xdr:col>
      <xdr:colOff>457200</xdr:colOff>
      <xdr:row>21</xdr:row>
      <xdr:rowOff>28575</xdr:rowOff>
    </xdr:to>
    <xdr:sp>
      <xdr:nvSpPr>
        <xdr:cNvPr id="32" name="Line 56"/>
        <xdr:cNvSpPr>
          <a:spLocks/>
        </xdr:cNvSpPr>
      </xdr:nvSpPr>
      <xdr:spPr>
        <a:xfrm flipV="1">
          <a:off x="1143000" y="2209800"/>
          <a:ext cx="0" cy="2847975"/>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xdr:row>
      <xdr:rowOff>104775</xdr:rowOff>
    </xdr:from>
    <xdr:to>
      <xdr:col>14</xdr:col>
      <xdr:colOff>733425</xdr:colOff>
      <xdr:row>5</xdr:row>
      <xdr:rowOff>161925</xdr:rowOff>
    </xdr:to>
    <xdr:sp>
      <xdr:nvSpPr>
        <xdr:cNvPr id="33" name="Text Box 57"/>
        <xdr:cNvSpPr txBox="1">
          <a:spLocks noChangeArrowheads="1"/>
        </xdr:cNvSpPr>
      </xdr:nvSpPr>
      <xdr:spPr>
        <a:xfrm>
          <a:off x="4162425" y="1085850"/>
          <a:ext cx="6172200" cy="295275"/>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rPr>
            <a:t>世帯主の方は国民健康保険に加入されなくても入力が必要です。</a:t>
          </a:r>
        </a:p>
      </xdr:txBody>
    </xdr:sp>
    <xdr:clientData/>
  </xdr:twoCellAnchor>
  <xdr:twoCellAnchor>
    <xdr:from>
      <xdr:col>3</xdr:col>
      <xdr:colOff>647700</xdr:colOff>
      <xdr:row>7</xdr:row>
      <xdr:rowOff>200025</xdr:rowOff>
    </xdr:from>
    <xdr:to>
      <xdr:col>5</xdr:col>
      <xdr:colOff>495300</xdr:colOff>
      <xdr:row>17</xdr:row>
      <xdr:rowOff>114300</xdr:rowOff>
    </xdr:to>
    <xdr:sp>
      <xdr:nvSpPr>
        <xdr:cNvPr id="34" name="Rectangle 58"/>
        <xdr:cNvSpPr>
          <a:spLocks/>
        </xdr:cNvSpPr>
      </xdr:nvSpPr>
      <xdr:spPr>
        <a:xfrm>
          <a:off x="2705100" y="1895475"/>
          <a:ext cx="1219200" cy="2295525"/>
        </a:xfrm>
        <a:prstGeom prst="rect">
          <a:avLst/>
        </a:prstGeom>
        <a:noFill/>
        <a:ln w="285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7</xdr:row>
      <xdr:rowOff>200025</xdr:rowOff>
    </xdr:from>
    <xdr:to>
      <xdr:col>7</xdr:col>
      <xdr:colOff>47625</xdr:colOff>
      <xdr:row>17</xdr:row>
      <xdr:rowOff>114300</xdr:rowOff>
    </xdr:to>
    <xdr:sp>
      <xdr:nvSpPr>
        <xdr:cNvPr id="35" name="Rectangle 59"/>
        <xdr:cNvSpPr>
          <a:spLocks/>
        </xdr:cNvSpPr>
      </xdr:nvSpPr>
      <xdr:spPr>
        <a:xfrm>
          <a:off x="4314825" y="1895475"/>
          <a:ext cx="533400" cy="2295525"/>
        </a:xfrm>
        <a:prstGeom prst="rect">
          <a:avLst/>
        </a:prstGeom>
        <a:noFill/>
        <a:ln w="38100" cmpd="dbl">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7</xdr:row>
      <xdr:rowOff>190500</xdr:rowOff>
    </xdr:from>
    <xdr:to>
      <xdr:col>2</xdr:col>
      <xdr:colOff>114300</xdr:colOff>
      <xdr:row>9</xdr:row>
      <xdr:rowOff>19050</xdr:rowOff>
    </xdr:to>
    <xdr:sp>
      <xdr:nvSpPr>
        <xdr:cNvPr id="36" name="Rectangle 60"/>
        <xdr:cNvSpPr>
          <a:spLocks/>
        </xdr:cNvSpPr>
      </xdr:nvSpPr>
      <xdr:spPr>
        <a:xfrm>
          <a:off x="838200" y="1885950"/>
          <a:ext cx="647700" cy="3048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152400</xdr:rowOff>
    </xdr:from>
    <xdr:to>
      <xdr:col>11</xdr:col>
      <xdr:colOff>66675</xdr:colOff>
      <xdr:row>19</xdr:row>
      <xdr:rowOff>66675</xdr:rowOff>
    </xdr:to>
    <xdr:sp>
      <xdr:nvSpPr>
        <xdr:cNvPr id="37" name="Line 61"/>
        <xdr:cNvSpPr>
          <a:spLocks/>
        </xdr:cNvSpPr>
      </xdr:nvSpPr>
      <xdr:spPr>
        <a:xfrm>
          <a:off x="5381625" y="3990975"/>
          <a:ext cx="2228850" cy="628650"/>
        </a:xfrm>
        <a:prstGeom prst="line">
          <a:avLst/>
        </a:prstGeom>
        <a:noFill/>
        <a:ln w="28575" cmpd="sng">
          <a:solidFill>
            <a:srgbClr val="0000FF"/>
          </a:solidFill>
          <a:prstDash val="dashDot"/>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19</xdr:row>
      <xdr:rowOff>66675</xdr:rowOff>
    </xdr:from>
    <xdr:to>
      <xdr:col>14</xdr:col>
      <xdr:colOff>752475</xdr:colOff>
      <xdr:row>25</xdr:row>
      <xdr:rowOff>28575</xdr:rowOff>
    </xdr:to>
    <xdr:sp>
      <xdr:nvSpPr>
        <xdr:cNvPr id="38" name="Text Box 62"/>
        <xdr:cNvSpPr txBox="1">
          <a:spLocks noChangeArrowheads="1"/>
        </xdr:cNvSpPr>
      </xdr:nvSpPr>
      <xdr:spPr>
        <a:xfrm>
          <a:off x="7610475" y="4619625"/>
          <a:ext cx="2743200" cy="1390650"/>
        </a:xfrm>
        <a:prstGeom prst="rect">
          <a:avLst/>
        </a:prstGeom>
        <a:solidFill>
          <a:srgbClr val="FFFFFF"/>
        </a:solidFill>
        <a:ln w="28575" cmpd="sng">
          <a:solidFill>
            <a:srgbClr val="0000FF"/>
          </a:solidFill>
          <a:prstDash val="dashDot"/>
          <a:headEnd type="none"/>
          <a:tailEnd type="none"/>
        </a:ln>
      </xdr:spPr>
      <xdr:txBody>
        <a:bodyPr vertOverflow="clip" wrap="square" lIns="36000" tIns="36000" rIns="36000" bIns="0"/>
        <a:p>
          <a:pPr algn="l">
            <a:defRPr/>
          </a:pPr>
          <a:r>
            <a:rPr lang="en-US" cap="none" sz="1400" b="0" i="0" u="none" baseline="0">
              <a:solidFill>
                <a:srgbClr val="0000FF"/>
              </a:solidFill>
              <a:latin typeface="ＭＳ Ｐゴシック"/>
              <a:ea typeface="ＭＳ Ｐゴシック"/>
              <a:cs typeface="ＭＳ Ｐゴシック"/>
            </a:rPr>
            <a:t>雇用保険受給資格者証の離職理由コードが</a:t>
          </a:r>
          <a:r>
            <a:rPr lang="en-US" cap="none" sz="1400" b="0" i="0" u="none" baseline="0">
              <a:solidFill>
                <a:srgbClr val="0000FF"/>
              </a:solidFill>
              <a:latin typeface="ＭＳ Ｐゴシック"/>
              <a:ea typeface="ＭＳ Ｐゴシック"/>
              <a:cs typeface="ＭＳ Ｐゴシック"/>
            </a:rPr>
            <a:t>11</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12</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21</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22</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23</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31</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32</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33</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34</a:t>
          </a:r>
          <a:r>
            <a:rPr lang="en-US" cap="none" sz="1400" b="0" i="0" u="none" baseline="0">
              <a:solidFill>
                <a:srgbClr val="0000FF"/>
              </a:solidFill>
              <a:latin typeface="ＭＳ Ｐゴシック"/>
              <a:ea typeface="ＭＳ Ｐゴシック"/>
              <a:cs typeface="ＭＳ Ｐゴシック"/>
            </a:rPr>
            <a:t>の方</a:t>
          </a:r>
          <a:r>
            <a:rPr lang="en-US" cap="none" sz="1200" b="0" i="0" u="none" baseline="0">
              <a:solidFill>
                <a:srgbClr val="0000FF"/>
              </a:solidFill>
              <a:latin typeface="ＭＳ Ｐゴシック"/>
              <a:ea typeface="ＭＳ Ｐゴシック"/>
              <a:cs typeface="ＭＳ Ｐゴシック"/>
            </a:rPr>
            <a:t>（ただし、特例受給資格者、高年齢受給資格者は対象になりません。）</a:t>
          </a:r>
          <a:r>
            <a:rPr lang="en-US" cap="none" sz="1400" b="0" i="0" u="none" baseline="0">
              <a:solidFill>
                <a:srgbClr val="0000FF"/>
              </a:solidFill>
              <a:latin typeface="ＭＳ Ｐゴシック"/>
              <a:ea typeface="ＭＳ Ｐゴシック"/>
              <a:cs typeface="ＭＳ Ｐゴシック"/>
            </a:rPr>
            <a:t>は「１」を入力してください。</a:t>
          </a:r>
        </a:p>
      </xdr:txBody>
    </xdr:sp>
    <xdr:clientData/>
  </xdr:twoCellAnchor>
  <xdr:twoCellAnchor>
    <xdr:from>
      <xdr:col>7</xdr:col>
      <xdr:colOff>114300</xdr:colOff>
      <xdr:row>7</xdr:row>
      <xdr:rowOff>200025</xdr:rowOff>
    </xdr:from>
    <xdr:to>
      <xdr:col>7</xdr:col>
      <xdr:colOff>571500</xdr:colOff>
      <xdr:row>17</xdr:row>
      <xdr:rowOff>114300</xdr:rowOff>
    </xdr:to>
    <xdr:sp>
      <xdr:nvSpPr>
        <xdr:cNvPr id="39" name="Rectangle 64"/>
        <xdr:cNvSpPr>
          <a:spLocks/>
        </xdr:cNvSpPr>
      </xdr:nvSpPr>
      <xdr:spPr>
        <a:xfrm>
          <a:off x="4914900" y="1895475"/>
          <a:ext cx="457200" cy="2295525"/>
        </a:xfrm>
        <a:prstGeom prst="rect">
          <a:avLst/>
        </a:prstGeom>
        <a:noFill/>
        <a:ln w="28575" cmpd="sng">
          <a:solidFill>
            <a:srgbClr val="0000FF"/>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xdr:row>
      <xdr:rowOff>142875</xdr:rowOff>
    </xdr:from>
    <xdr:to>
      <xdr:col>14</xdr:col>
      <xdr:colOff>676275</xdr:colOff>
      <xdr:row>17</xdr:row>
      <xdr:rowOff>190500</xdr:rowOff>
    </xdr:to>
    <xdr:sp>
      <xdr:nvSpPr>
        <xdr:cNvPr id="40" name="正方形/長方形 1"/>
        <xdr:cNvSpPr>
          <a:spLocks/>
        </xdr:cNvSpPr>
      </xdr:nvSpPr>
      <xdr:spPr>
        <a:xfrm>
          <a:off x="8982075" y="1600200"/>
          <a:ext cx="1295400" cy="266700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7</xdr:row>
      <xdr:rowOff>228600</xdr:rowOff>
    </xdr:from>
    <xdr:to>
      <xdr:col>13</xdr:col>
      <xdr:colOff>76200</xdr:colOff>
      <xdr:row>8</xdr:row>
      <xdr:rowOff>228600</xdr:rowOff>
    </xdr:to>
    <xdr:sp>
      <xdr:nvSpPr>
        <xdr:cNvPr id="41" name="Rectangle 51"/>
        <xdr:cNvSpPr>
          <a:spLocks/>
        </xdr:cNvSpPr>
      </xdr:nvSpPr>
      <xdr:spPr>
        <a:xfrm>
          <a:off x="866775" y="1924050"/>
          <a:ext cx="8124825" cy="2381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30</xdr:row>
      <xdr:rowOff>66675</xdr:rowOff>
    </xdr:from>
    <xdr:to>
      <xdr:col>9</xdr:col>
      <xdr:colOff>542925</xdr:colOff>
      <xdr:row>30</xdr:row>
      <xdr:rowOff>228600</xdr:rowOff>
    </xdr:to>
    <xdr:sp>
      <xdr:nvSpPr>
        <xdr:cNvPr id="42" name="正方形/長方形 3"/>
        <xdr:cNvSpPr>
          <a:spLocks/>
        </xdr:cNvSpPr>
      </xdr:nvSpPr>
      <xdr:spPr>
        <a:xfrm>
          <a:off x="6324600" y="7267575"/>
          <a:ext cx="390525" cy="1619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30</xdr:row>
      <xdr:rowOff>114300</xdr:rowOff>
    </xdr:from>
    <xdr:to>
      <xdr:col>2</xdr:col>
      <xdr:colOff>95250</xdr:colOff>
      <xdr:row>31</xdr:row>
      <xdr:rowOff>38100</xdr:rowOff>
    </xdr:to>
    <xdr:sp>
      <xdr:nvSpPr>
        <xdr:cNvPr id="43" name="正方形/長方形 50"/>
        <xdr:cNvSpPr>
          <a:spLocks/>
        </xdr:cNvSpPr>
      </xdr:nvSpPr>
      <xdr:spPr>
        <a:xfrm>
          <a:off x="1076325" y="7315200"/>
          <a:ext cx="390525" cy="1619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30</xdr:row>
      <xdr:rowOff>0</xdr:rowOff>
    </xdr:from>
    <xdr:to>
      <xdr:col>9</xdr:col>
      <xdr:colOff>600075</xdr:colOff>
      <xdr:row>31</xdr:row>
      <xdr:rowOff>47625</xdr:rowOff>
    </xdr:to>
    <xdr:sp>
      <xdr:nvSpPr>
        <xdr:cNvPr id="44" name="テキスト ボックス 2"/>
        <xdr:cNvSpPr txBox="1">
          <a:spLocks noChangeArrowheads="1"/>
        </xdr:cNvSpPr>
      </xdr:nvSpPr>
      <xdr:spPr>
        <a:xfrm>
          <a:off x="6286500" y="7200900"/>
          <a:ext cx="485775" cy="285750"/>
        </a:xfrm>
        <a:prstGeom prst="rect">
          <a:avLst/>
        </a:prstGeom>
        <a:noFill/>
        <a:ln w="9525" cmpd="sng">
          <a:noFill/>
        </a:ln>
      </xdr:spPr>
      <xdr:txBody>
        <a:bodyPr vertOverflow="clip" wrap="square" anchor="b"/>
        <a:p>
          <a:pPr algn="r">
            <a:defRPr/>
          </a:pPr>
          <a:r>
            <a:rPr lang="en-US" cap="none" sz="1000" b="0" i="0" u="none" baseline="0">
              <a:solidFill>
                <a:srgbClr val="000000"/>
              </a:solidFill>
              <a:latin typeface="ＭＳ Ｐゴシック"/>
              <a:ea typeface="ＭＳ Ｐゴシック"/>
              <a:cs typeface="ＭＳ Ｐゴシック"/>
            </a:rPr>
            <a:t>令和</a:t>
          </a:r>
        </a:p>
      </xdr:txBody>
    </xdr:sp>
    <xdr:clientData/>
  </xdr:twoCellAnchor>
  <xdr:twoCellAnchor>
    <xdr:from>
      <xdr:col>1</xdr:col>
      <xdr:colOff>342900</xdr:colOff>
      <xdr:row>30</xdr:row>
      <xdr:rowOff>38100</xdr:rowOff>
    </xdr:from>
    <xdr:to>
      <xdr:col>2</xdr:col>
      <xdr:colOff>142875</xdr:colOff>
      <xdr:row>31</xdr:row>
      <xdr:rowOff>85725</xdr:rowOff>
    </xdr:to>
    <xdr:sp>
      <xdr:nvSpPr>
        <xdr:cNvPr id="45" name="テキスト ボックス 51"/>
        <xdr:cNvSpPr txBox="1">
          <a:spLocks noChangeArrowheads="1"/>
        </xdr:cNvSpPr>
      </xdr:nvSpPr>
      <xdr:spPr>
        <a:xfrm>
          <a:off x="1028700" y="7239000"/>
          <a:ext cx="485775" cy="285750"/>
        </a:xfrm>
        <a:prstGeom prst="rect">
          <a:avLst/>
        </a:prstGeom>
        <a:noFill/>
        <a:ln w="9525" cmpd="sng">
          <a:noFill/>
        </a:ln>
      </xdr:spPr>
      <xdr:txBody>
        <a:bodyPr vertOverflow="clip" wrap="square" anchor="b"/>
        <a:p>
          <a:pPr algn="r">
            <a:defRPr/>
          </a:pPr>
          <a:r>
            <a:rPr lang="en-US" cap="none" sz="1000" b="0" i="0" u="none" baseline="0">
              <a:solidFill>
                <a:srgbClr val="000000"/>
              </a:solidFill>
              <a:latin typeface="ＭＳ Ｐゴシック"/>
              <a:ea typeface="ＭＳ Ｐゴシック"/>
              <a:cs typeface="ＭＳ Ｐゴシック"/>
            </a:rPr>
            <a:t>令和</a:t>
          </a:r>
        </a:p>
      </xdr:txBody>
    </xdr:sp>
    <xdr:clientData/>
  </xdr:twoCellAnchor>
  <xdr:twoCellAnchor>
    <xdr:from>
      <xdr:col>7</xdr:col>
      <xdr:colOff>228600</xdr:colOff>
      <xdr:row>55</xdr:row>
      <xdr:rowOff>171450</xdr:rowOff>
    </xdr:from>
    <xdr:to>
      <xdr:col>8</xdr:col>
      <xdr:colOff>485775</xdr:colOff>
      <xdr:row>56</xdr:row>
      <xdr:rowOff>123825</xdr:rowOff>
    </xdr:to>
    <xdr:sp>
      <xdr:nvSpPr>
        <xdr:cNvPr id="46" name="正方形/長方形 4"/>
        <xdr:cNvSpPr>
          <a:spLocks/>
        </xdr:cNvSpPr>
      </xdr:nvSpPr>
      <xdr:spPr>
        <a:xfrm>
          <a:off x="5029200" y="13354050"/>
          <a:ext cx="942975" cy="19050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55</xdr:row>
      <xdr:rowOff>180975</xdr:rowOff>
    </xdr:from>
    <xdr:to>
      <xdr:col>1</xdr:col>
      <xdr:colOff>552450</xdr:colOff>
      <xdr:row>56</xdr:row>
      <xdr:rowOff>161925</xdr:rowOff>
    </xdr:to>
    <xdr:sp>
      <xdr:nvSpPr>
        <xdr:cNvPr id="47" name="正方形/長方形 54"/>
        <xdr:cNvSpPr>
          <a:spLocks/>
        </xdr:cNvSpPr>
      </xdr:nvSpPr>
      <xdr:spPr>
        <a:xfrm>
          <a:off x="476250" y="13363575"/>
          <a:ext cx="762000" cy="21907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55</xdr:row>
      <xdr:rowOff>114300</xdr:rowOff>
    </xdr:from>
    <xdr:to>
      <xdr:col>8</xdr:col>
      <xdr:colOff>428625</xdr:colOff>
      <xdr:row>56</xdr:row>
      <xdr:rowOff>161925</xdr:rowOff>
    </xdr:to>
    <xdr:sp>
      <xdr:nvSpPr>
        <xdr:cNvPr id="48" name="テキスト ボックス 52"/>
        <xdr:cNvSpPr txBox="1">
          <a:spLocks noChangeArrowheads="1"/>
        </xdr:cNvSpPr>
      </xdr:nvSpPr>
      <xdr:spPr>
        <a:xfrm>
          <a:off x="4867275" y="13296900"/>
          <a:ext cx="1047750" cy="285750"/>
        </a:xfrm>
        <a:prstGeom prst="rect">
          <a:avLst/>
        </a:prstGeom>
        <a:noFill/>
        <a:ln w="9525" cmpd="sng">
          <a:noFill/>
        </a:ln>
      </xdr:spPr>
      <xdr:txBody>
        <a:bodyPr vertOverflow="clip" wrap="square" anchor="b"/>
        <a:p>
          <a:pPr algn="r">
            <a:defRPr/>
          </a:pPr>
          <a:r>
            <a:rPr lang="en-US" cap="none" sz="1000" b="0" i="0" u="none" baseline="0">
              <a:solidFill>
                <a:srgbClr val="000000"/>
              </a:solidFill>
              <a:latin typeface="ＭＳ Ｐゴシック"/>
              <a:ea typeface="ＭＳ Ｐゴシック"/>
              <a:cs typeface="ＭＳ Ｐゴシック"/>
            </a:rPr>
            <a:t>令和○○年分</a:t>
          </a:r>
        </a:p>
      </xdr:txBody>
    </xdr:sp>
    <xdr:clientData/>
  </xdr:twoCellAnchor>
  <xdr:twoCellAnchor>
    <xdr:from>
      <xdr:col>0</xdr:col>
      <xdr:colOff>295275</xdr:colOff>
      <xdr:row>55</xdr:row>
      <xdr:rowOff>123825</xdr:rowOff>
    </xdr:from>
    <xdr:to>
      <xdr:col>1</xdr:col>
      <xdr:colOff>657225</xdr:colOff>
      <xdr:row>56</xdr:row>
      <xdr:rowOff>171450</xdr:rowOff>
    </xdr:to>
    <xdr:sp>
      <xdr:nvSpPr>
        <xdr:cNvPr id="49" name="テキスト ボックス 55"/>
        <xdr:cNvSpPr txBox="1">
          <a:spLocks noChangeArrowheads="1"/>
        </xdr:cNvSpPr>
      </xdr:nvSpPr>
      <xdr:spPr>
        <a:xfrm>
          <a:off x="295275" y="13306425"/>
          <a:ext cx="1047750" cy="285750"/>
        </a:xfrm>
        <a:prstGeom prst="rect">
          <a:avLst/>
        </a:prstGeom>
        <a:noFill/>
        <a:ln w="9525" cmpd="sng">
          <a:noFill/>
        </a:ln>
      </xdr:spPr>
      <xdr:txBody>
        <a:bodyPr vertOverflow="clip" wrap="square" anchor="b"/>
        <a:p>
          <a:pPr algn="r">
            <a:defRPr/>
          </a:pPr>
          <a:r>
            <a:rPr lang="en-US" cap="none" sz="1000" b="0" i="0" u="none" baseline="0">
              <a:solidFill>
                <a:srgbClr val="000000"/>
              </a:solidFill>
              <a:latin typeface="ＭＳ Ｐゴシック"/>
              <a:ea typeface="ＭＳ Ｐゴシック"/>
              <a:cs typeface="ＭＳ Ｐゴシック"/>
            </a:rPr>
            <a:t>令和○○年分</a:t>
          </a:r>
        </a:p>
      </xdr:txBody>
    </xdr:sp>
    <xdr:clientData/>
  </xdr:twoCellAnchor>
  <xdr:twoCellAnchor>
    <xdr:from>
      <xdr:col>9</xdr:col>
      <xdr:colOff>47625</xdr:colOff>
      <xdr:row>83</xdr:row>
      <xdr:rowOff>219075</xdr:rowOff>
    </xdr:from>
    <xdr:to>
      <xdr:col>9</xdr:col>
      <xdr:colOff>428625</xdr:colOff>
      <xdr:row>85</xdr:row>
      <xdr:rowOff>19050</xdr:rowOff>
    </xdr:to>
    <xdr:sp>
      <xdr:nvSpPr>
        <xdr:cNvPr id="50" name="正方形/長方形 5"/>
        <xdr:cNvSpPr>
          <a:spLocks/>
        </xdr:cNvSpPr>
      </xdr:nvSpPr>
      <xdr:spPr>
        <a:xfrm>
          <a:off x="6219825" y="20097750"/>
          <a:ext cx="381000" cy="2762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82</xdr:row>
      <xdr:rowOff>85725</xdr:rowOff>
    </xdr:from>
    <xdr:to>
      <xdr:col>2</xdr:col>
      <xdr:colOff>314325</xdr:colOff>
      <xdr:row>83</xdr:row>
      <xdr:rowOff>123825</xdr:rowOff>
    </xdr:to>
    <xdr:sp>
      <xdr:nvSpPr>
        <xdr:cNvPr id="51" name="正方形/長方形 58"/>
        <xdr:cNvSpPr>
          <a:spLocks/>
        </xdr:cNvSpPr>
      </xdr:nvSpPr>
      <xdr:spPr>
        <a:xfrm>
          <a:off x="1304925" y="19726275"/>
          <a:ext cx="381000" cy="2762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676275</xdr:colOff>
      <xdr:row>83</xdr:row>
      <xdr:rowOff>171450</xdr:rowOff>
    </xdr:from>
    <xdr:to>
      <xdr:col>9</xdr:col>
      <xdr:colOff>476250</xdr:colOff>
      <xdr:row>85</xdr:row>
      <xdr:rowOff>19050</xdr:rowOff>
    </xdr:to>
    <xdr:sp>
      <xdr:nvSpPr>
        <xdr:cNvPr id="52" name="テキスト ボックス 56"/>
        <xdr:cNvSpPr txBox="1">
          <a:spLocks noChangeArrowheads="1"/>
        </xdr:cNvSpPr>
      </xdr:nvSpPr>
      <xdr:spPr>
        <a:xfrm>
          <a:off x="6162675" y="20050125"/>
          <a:ext cx="485775" cy="323850"/>
        </a:xfrm>
        <a:prstGeom prst="rect">
          <a:avLst/>
        </a:prstGeom>
        <a:noFill/>
        <a:ln w="9525" cmpd="sng">
          <a:noFill/>
        </a:ln>
      </xdr:spPr>
      <xdr:txBody>
        <a:bodyPr vertOverflow="clip" wrap="square" anchor="b"/>
        <a:p>
          <a:pPr algn="r">
            <a:defRPr/>
          </a:pPr>
          <a:r>
            <a:rPr lang="en-US" cap="none" sz="1000" b="1" i="0" u="none" baseline="0">
              <a:solidFill>
                <a:srgbClr val="000000"/>
              </a:solidFill>
              <a:latin typeface="ＭＳ Ｐゴシック"/>
              <a:ea typeface="ＭＳ Ｐゴシック"/>
              <a:cs typeface="ＭＳ Ｐゴシック"/>
            </a:rPr>
            <a:t>令和</a:t>
          </a:r>
        </a:p>
      </xdr:txBody>
    </xdr:sp>
    <xdr:clientData/>
  </xdr:twoCellAnchor>
  <xdr:twoCellAnchor>
    <xdr:from>
      <xdr:col>1</xdr:col>
      <xdr:colOff>600075</xdr:colOff>
      <xdr:row>82</xdr:row>
      <xdr:rowOff>95250</xdr:rowOff>
    </xdr:from>
    <xdr:to>
      <xdr:col>2</xdr:col>
      <xdr:colOff>400050</xdr:colOff>
      <xdr:row>83</xdr:row>
      <xdr:rowOff>180975</xdr:rowOff>
    </xdr:to>
    <xdr:sp>
      <xdr:nvSpPr>
        <xdr:cNvPr id="53" name="テキスト ボックス 59"/>
        <xdr:cNvSpPr txBox="1">
          <a:spLocks noChangeArrowheads="1"/>
        </xdr:cNvSpPr>
      </xdr:nvSpPr>
      <xdr:spPr>
        <a:xfrm>
          <a:off x="1285875" y="19735800"/>
          <a:ext cx="485775" cy="323850"/>
        </a:xfrm>
        <a:prstGeom prst="rect">
          <a:avLst/>
        </a:prstGeom>
        <a:noFill/>
        <a:ln w="9525" cmpd="sng">
          <a:noFill/>
        </a:ln>
      </xdr:spPr>
      <xdr:txBody>
        <a:bodyPr vertOverflow="clip" wrap="square" anchor="b"/>
        <a:p>
          <a:pPr algn="r">
            <a:defRPr/>
          </a:pPr>
          <a:r>
            <a:rPr lang="en-US" cap="none" sz="1000" b="1" i="0" u="none" baseline="0">
              <a:solidFill>
                <a:srgbClr val="000000"/>
              </a:solidFill>
              <a:latin typeface="ＭＳ Ｐゴシック"/>
              <a:ea typeface="ＭＳ Ｐゴシック"/>
              <a:cs typeface="ＭＳ Ｐゴシック"/>
            </a:rPr>
            <a:t>令和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17</xdr:row>
      <xdr:rowOff>28575</xdr:rowOff>
    </xdr:from>
    <xdr:to>
      <xdr:col>20</xdr:col>
      <xdr:colOff>104775</xdr:colOff>
      <xdr:row>29</xdr:row>
      <xdr:rowOff>0</xdr:rowOff>
    </xdr:to>
    <xdr:sp>
      <xdr:nvSpPr>
        <xdr:cNvPr id="1" name="Text Box 13"/>
        <xdr:cNvSpPr txBox="1">
          <a:spLocks noChangeArrowheads="1"/>
        </xdr:cNvSpPr>
      </xdr:nvSpPr>
      <xdr:spPr>
        <a:xfrm>
          <a:off x="3048000" y="2943225"/>
          <a:ext cx="4714875" cy="23145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《注意事項》</a:t>
          </a:r>
          <a:r>
            <a:rPr lang="en-US" cap="none" sz="1100" b="1" i="0" u="none" baseline="0">
              <a:solidFill>
                <a:srgbClr val="FF0000"/>
              </a:solidFill>
              <a:latin typeface="ＭＳ Ｐゴシック"/>
              <a:ea typeface="ＭＳ Ｐゴシック"/>
              <a:cs typeface="ＭＳ Ｐゴシック"/>
            </a:rPr>
            <a:t>　この簡易計算は１年間（</a:t>
          </a:r>
          <a:r>
            <a:rPr lang="en-US" cap="none" sz="1100" b="1" i="0" u="none" baseline="0">
              <a:solidFill>
                <a:srgbClr val="FF0000"/>
              </a:solidFill>
              <a:latin typeface="ＭＳ Ｐゴシック"/>
              <a:ea typeface="ＭＳ Ｐゴシック"/>
              <a:cs typeface="ＭＳ Ｐゴシック"/>
            </a:rPr>
            <a:t>4</a:t>
          </a:r>
          <a:r>
            <a:rPr lang="en-US" cap="none" sz="1100" b="1" i="0" u="none" baseline="0">
              <a:solidFill>
                <a:srgbClr val="FF0000"/>
              </a:solidFill>
              <a:latin typeface="ＭＳ Ｐゴシック"/>
              <a:ea typeface="ＭＳ Ｐゴシック"/>
              <a:cs typeface="ＭＳ Ｐゴシック"/>
            </a:rPr>
            <a:t>月から翌年</a:t>
          </a:r>
          <a:r>
            <a:rPr lang="en-US" cap="none" sz="1100" b="1" i="0" u="none" baseline="0">
              <a:solidFill>
                <a:srgbClr val="FF0000"/>
              </a:solidFill>
              <a:latin typeface="ＭＳ Ｐゴシック"/>
              <a:ea typeface="ＭＳ Ｐゴシック"/>
              <a:cs typeface="ＭＳ Ｐゴシック"/>
            </a:rPr>
            <a:t>3</a:t>
          </a:r>
          <a:r>
            <a:rPr lang="en-US" cap="none" sz="1100" b="1" i="0" u="none" baseline="0">
              <a:solidFill>
                <a:srgbClr val="FF0000"/>
              </a:solidFill>
              <a:latin typeface="ＭＳ Ｐゴシック"/>
              <a:ea typeface="ＭＳ Ｐゴシック"/>
              <a:cs typeface="ＭＳ Ｐゴシック"/>
            </a:rPr>
            <a:t>月分）の国民健康保険税の税額となります。　試算表はエクセルで作成してあります。</a:t>
          </a:r>
          <a:r>
            <a:rPr lang="en-US" cap="none" sz="1200" b="1" i="0" u="sng" baseline="0">
              <a:solidFill>
                <a:srgbClr val="000000"/>
              </a:solidFill>
              <a:latin typeface="ＭＳ Ｐゴシック"/>
              <a:ea typeface="ＭＳ Ｐゴシック"/>
              <a:cs typeface="ＭＳ Ｐゴシック"/>
            </a:rPr>
            <a:t>実際に課税される税額と異なる場合があります。</a:t>
          </a:r>
          <a:r>
            <a:rPr lang="en-US" cap="none" sz="1100" b="1" i="0" u="sng"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明朝"/>
              <a:ea typeface="ＭＳ Ｐ明朝"/>
              <a:cs typeface="ＭＳ Ｐ明朝"/>
            </a:rPr>
            <a:t>○年の途中で就職や退職、転入転出等で資格が１年に満たない場合の計算はできません。</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○年度途中で</a:t>
          </a:r>
          <a:r>
            <a:rPr lang="en-US" cap="none" sz="1100" b="0" i="0" u="none" baseline="0">
              <a:solidFill>
                <a:srgbClr val="FF0000"/>
              </a:solidFill>
              <a:latin typeface="ＭＳ Ｐ明朝"/>
              <a:ea typeface="ＭＳ Ｐ明朝"/>
              <a:cs typeface="ＭＳ Ｐ明朝"/>
            </a:rPr>
            <a:t>40</a:t>
          </a:r>
          <a:r>
            <a:rPr lang="en-US" cap="none" sz="1100" b="0" i="0" u="none" baseline="0">
              <a:solidFill>
                <a:srgbClr val="FF0000"/>
              </a:solidFill>
              <a:latin typeface="ＭＳ Ｐ明朝"/>
              <a:ea typeface="ＭＳ Ｐ明朝"/>
              <a:cs typeface="ＭＳ Ｐ明朝"/>
            </a:rPr>
            <a:t>歳になられる方、</a:t>
          </a:r>
          <a:r>
            <a:rPr lang="en-US" cap="none" sz="1100" b="0" i="0" u="none" baseline="0">
              <a:solidFill>
                <a:srgbClr val="FF0000"/>
              </a:solidFill>
              <a:latin typeface="ＭＳ Ｐ明朝"/>
              <a:ea typeface="ＭＳ Ｐ明朝"/>
              <a:cs typeface="ＭＳ Ｐ明朝"/>
            </a:rPr>
            <a:t>65</a:t>
          </a:r>
          <a:r>
            <a:rPr lang="en-US" cap="none" sz="1100" b="0" i="0" u="none" baseline="0">
              <a:solidFill>
                <a:srgbClr val="FF0000"/>
              </a:solidFill>
              <a:latin typeface="ＭＳ Ｐ明朝"/>
              <a:ea typeface="ＭＳ Ｐ明朝"/>
              <a:cs typeface="ＭＳ Ｐ明朝"/>
            </a:rPr>
            <a:t>歳になられる方の介護分の税額が異なります。（月割で課税されるため）</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○青色事業者の専従者及び純損繰越がある場合、分離課税所得等がある場合は対応しておりません。</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○所得金額調整控除の計算はされていません。</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○公的年金等に係る雑所得以外の合計所得金額が１千万円以上ある方は対応していません。</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a:t>
          </a:r>
          <a:r>
            <a:rPr lang="en-US" cap="none" sz="1100" b="1" i="0" u="sng" baseline="0">
              <a:solidFill>
                <a:srgbClr val="000000"/>
              </a:solidFill>
              <a:latin typeface="ＭＳ Ｐ明朝"/>
              <a:ea typeface="ＭＳ Ｐ明朝"/>
              <a:cs typeface="ＭＳ Ｐ明朝"/>
            </a:rPr>
            <a:t>特定同一世帯所属者の世帯</a:t>
          </a:r>
          <a:r>
            <a:rPr lang="en-US" cap="none" sz="1100" b="0" i="0" u="none" baseline="0">
              <a:solidFill>
                <a:srgbClr val="FF0000"/>
              </a:solidFill>
              <a:latin typeface="ＭＳ Ｐ明朝"/>
              <a:ea typeface="ＭＳ Ｐ明朝"/>
              <a:cs typeface="ＭＳ Ｐ明朝"/>
            </a:rPr>
            <a:t>における判定はできません。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showRowColHeaders="0" zoomScalePageLayoutView="0" workbookViewId="0" topLeftCell="A1">
      <selection activeCell="A4" sqref="A4"/>
    </sheetView>
  </sheetViews>
  <sheetFormatPr defaultColWidth="0" defaultRowHeight="13.5" zeroHeight="1"/>
  <cols>
    <col min="1" max="14" width="9.00390625" style="77" customWidth="1"/>
    <col min="15" max="15" width="10.875" style="77" customWidth="1"/>
    <col min="16" max="16384" width="0" style="77" hidden="1" customWidth="1"/>
  </cols>
  <sheetData>
    <row r="1" ht="21">
      <c r="A1" s="78" t="s">
        <v>77</v>
      </c>
    </row>
    <row r="2" ht="18.75"/>
    <row r="3" ht="18.75">
      <c r="A3" s="77" t="s">
        <v>86</v>
      </c>
    </row>
    <row r="4" spans="1:2" ht="18.75">
      <c r="A4" s="80"/>
      <c r="B4" s="77" t="s">
        <v>84</v>
      </c>
    </row>
    <row r="5" ht="18.75"/>
    <row r="6" ht="18.75"/>
    <row r="7" ht="18.75"/>
    <row r="8" ht="18.75"/>
    <row r="9" ht="18.75"/>
    <row r="10" ht="18.75"/>
    <row r="11" ht="18.75"/>
    <row r="12" ht="18.75"/>
    <row r="13" ht="18.75"/>
    <row r="14" ht="18.75"/>
    <row r="15" ht="18.75"/>
    <row r="16" ht="18.75"/>
    <row r="17" ht="18.75"/>
    <row r="18" ht="18.75"/>
    <row r="19" ht="18.75"/>
    <row r="20" ht="18.75">
      <c r="C20" s="79" t="s">
        <v>81</v>
      </c>
    </row>
    <row r="21" ht="18.75"/>
    <row r="22" ht="18.75">
      <c r="B22" s="77" t="s">
        <v>82</v>
      </c>
    </row>
    <row r="23" ht="18.75">
      <c r="B23" s="77" t="s">
        <v>83</v>
      </c>
    </row>
    <row r="24" ht="18.75">
      <c r="B24" s="77" t="s">
        <v>85</v>
      </c>
    </row>
    <row r="25" ht="18.75"/>
    <row r="26" ht="18.75">
      <c r="A26" s="77" t="s">
        <v>72</v>
      </c>
    </row>
    <row r="27" ht="21">
      <c r="A27" s="78" t="s">
        <v>78</v>
      </c>
    </row>
    <row r="28" ht="18.75"/>
    <row r="29" ht="18.75">
      <c r="A29" s="77" t="str">
        <f>"給与収入のみの方で年末調整がお済の方は、源泉徴収票("&amp;'国保税計算'!I1&amp;'国保税計算'!J1-1&amp;"年分）の支払金額を「①給与収入」に入力してください。"</f>
        <v>給与収入のみの方で年末調整がお済の方は、源泉徴収票(令和5年分）の支払金額を「①給与収入」に入力してください。</v>
      </c>
    </row>
    <row r="30" ht="18.75"/>
    <row r="31" ht="18.75"/>
    <row r="32" ht="18.75"/>
    <row r="33" ht="18.75"/>
    <row r="34" ht="18.75"/>
    <row r="35" ht="18.75"/>
    <row r="36" ht="18.75"/>
    <row r="37" ht="18.75"/>
    <row r="38" ht="18.75"/>
    <row r="39" ht="18.75"/>
    <row r="40" ht="18.75"/>
    <row r="41" ht="18.75"/>
    <row r="42" ht="18.75"/>
    <row r="43" ht="18.75"/>
    <row r="44" ht="18.75"/>
    <row r="45" ht="18.75"/>
    <row r="46" ht="18.75"/>
    <row r="47" ht="18.75"/>
    <row r="48" ht="18.75">
      <c r="D48" s="77" t="s">
        <v>71</v>
      </c>
    </row>
    <row r="49" ht="18.75"/>
    <row r="50" ht="18.75">
      <c r="A50" s="77" t="s">
        <v>72</v>
      </c>
    </row>
    <row r="51" ht="18.75">
      <c r="A51" s="77" t="s">
        <v>73</v>
      </c>
    </row>
    <row r="52" ht="18.75"/>
    <row r="53" ht="21">
      <c r="A53" s="78" t="s">
        <v>79</v>
      </c>
    </row>
    <row r="54" ht="18.75"/>
    <row r="55" ht="18.75">
      <c r="A55" s="77" t="str">
        <f>"年金収入のみの方は、源泉徴収票("&amp;'国保税計算'!I1&amp;'国保税計算'!J1-1&amp;"年分）の支払金額を「②年金収入」に入力してください。"</f>
        <v>年金収入のみの方は、源泉徴収票(令和5年分）の支払金額を「②年金収入」に入力してください。</v>
      </c>
    </row>
    <row r="56" ht="18.75"/>
    <row r="57" ht="18.75"/>
    <row r="58" ht="18.75"/>
    <row r="59" ht="18.75"/>
    <row r="60" ht="18.75"/>
    <row r="61" ht="18.75"/>
    <row r="62" ht="18.75"/>
    <row r="63" ht="18.75"/>
    <row r="64" ht="18.75"/>
    <row r="65" ht="18.75"/>
    <row r="66" ht="18.75"/>
    <row r="67" ht="18.75"/>
    <row r="68" ht="18.75"/>
    <row r="69" ht="18.75"/>
    <row r="70" ht="18.75"/>
    <row r="71" ht="18.75"/>
    <row r="72" ht="18.75"/>
    <row r="73" ht="18.75"/>
    <row r="74" ht="18.75">
      <c r="F74" s="77" t="s">
        <v>71</v>
      </c>
    </row>
    <row r="75" ht="18.75"/>
    <row r="76" ht="18.75">
      <c r="A76" s="77" t="s">
        <v>72</v>
      </c>
    </row>
    <row r="77" ht="18.75">
      <c r="A77" s="77" t="s">
        <v>73</v>
      </c>
    </row>
    <row r="78" ht="18.75"/>
    <row r="79" ht="21">
      <c r="A79" s="78" t="s">
        <v>80</v>
      </c>
    </row>
    <row r="80" ht="18.75">
      <c r="A80" s="77" t="str">
        <f>"確定申告された方は、所得税の確定申告書("&amp;'国保税計算'!I1&amp;'国保税計算'!J1-1&amp;"年分）第一表の所得金額合計額⑨を"</f>
        <v>確定申告された方は、所得税の確定申告書(令和5年分）第一表の所得金額合計額⑨を</v>
      </c>
    </row>
    <row r="81" ht="18.75">
      <c r="A81" s="77" t="s">
        <v>87</v>
      </c>
    </row>
    <row r="82" ht="18.75"/>
    <row r="83" ht="18.75"/>
    <row r="84" ht="18.75"/>
    <row r="85" ht="18.75"/>
    <row r="86" ht="18.75"/>
    <row r="87" ht="18.75"/>
    <row r="88" ht="18.75"/>
    <row r="89" ht="18.75"/>
    <row r="90" ht="18.75"/>
    <row r="91" ht="18.75"/>
    <row r="92" ht="18.75"/>
    <row r="93" ht="18.75"/>
    <row r="94" ht="18.75"/>
    <row r="95" ht="18.75"/>
    <row r="96" ht="18.75"/>
    <row r="97" ht="18.75"/>
    <row r="98" ht="18.75"/>
    <row r="99" ht="18.75"/>
    <row r="100" ht="18.75">
      <c r="A100" s="77" t="s">
        <v>76</v>
      </c>
    </row>
    <row r="101" ht="18.75">
      <c r="J101" s="77" t="s">
        <v>75</v>
      </c>
    </row>
    <row r="102" ht="18.75">
      <c r="A102" s="77" t="s">
        <v>72</v>
      </c>
    </row>
    <row r="103" ht="18.75">
      <c r="A103" s="77" t="s">
        <v>73</v>
      </c>
    </row>
    <row r="104" ht="18.75"/>
    <row r="105" ht="18.75" hidden="1"/>
    <row r="106" ht="18.75" hidden="1"/>
    <row r="107" ht="18.75" hidden="1"/>
    <row r="108" ht="18.75" hidden="1"/>
    <row r="109" ht="18.75" hidden="1"/>
    <row r="110" ht="18.75" hidden="1"/>
    <row r="111" ht="18.75" hidden="1"/>
    <row r="112" ht="18.75" hidden="1"/>
    <row r="113" ht="18.75" hidden="1"/>
    <row r="114" ht="18.75" hidden="1"/>
    <row r="115" ht="18.75" hidden="1"/>
    <row r="116" ht="18.75" hidden="1"/>
    <row r="117" ht="18.75" hidden="1"/>
    <row r="118" ht="18.75" hidden="1"/>
    <row r="119" ht="18.75" hidden="1"/>
    <row r="120" ht="18.75" hidden="1"/>
    <row r="121" ht="18.75" hidden="1"/>
    <row r="122" ht="18.75" hidden="1"/>
    <row r="123" ht="18.75" hidden="1"/>
    <row r="124" ht="18.75" hidden="1"/>
    <row r="125" ht="18.75" hidden="1"/>
    <row r="126" ht="18.75" hidden="1"/>
    <row r="127" ht="18.75" hidden="1"/>
    <row r="128" ht="18.75" hidden="1"/>
    <row r="129" ht="18.75" hidden="1"/>
    <row r="130" ht="18.75" hidden="1"/>
  </sheetData>
  <sheetProtection password="C765" sheet="1" objects="1" selectLockedCells="1"/>
  <printOptions/>
  <pageMargins left="0.5905511811023623" right="0.5905511811023623"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W31"/>
  <sheetViews>
    <sheetView showGridLines="0" showRowColHeaders="0" tabSelected="1" workbookViewId="0" topLeftCell="A1">
      <selection activeCell="R10" sqref="R10"/>
    </sheetView>
  </sheetViews>
  <sheetFormatPr defaultColWidth="0" defaultRowHeight="13.5" zeroHeight="1"/>
  <cols>
    <col min="1" max="1" width="1.4921875" style="0" customWidth="1"/>
    <col min="2" max="2" width="7.125" style="0" bestFit="1" customWidth="1"/>
    <col min="3" max="5" width="3.375" style="31" hidden="1" customWidth="1"/>
    <col min="6" max="6" width="2.625" style="31" hidden="1" customWidth="1"/>
    <col min="7" max="7" width="4.00390625" style="31" hidden="1" customWidth="1"/>
    <col min="8" max="8" width="3.50390625" style="31" hidden="1" customWidth="1"/>
    <col min="9" max="9" width="7.125" style="31" bestFit="1" customWidth="1"/>
    <col min="10" max="10" width="12.875" style="0" customWidth="1"/>
    <col min="11" max="11" width="9.375" style="0" bestFit="1" customWidth="1"/>
    <col min="12" max="12" width="6.50390625" style="0" hidden="1" customWidth="1"/>
    <col min="13" max="13" width="7.375" style="0" hidden="1" customWidth="1"/>
    <col min="14" max="14" width="4.625" style="0" customWidth="1"/>
    <col min="15" max="15" width="4.125" style="0" customWidth="1"/>
    <col min="16" max="16" width="5.25390625" style="0" bestFit="1" customWidth="1"/>
    <col min="17" max="18" width="16.25390625" style="0" customWidth="1"/>
    <col min="19" max="19" width="16.00390625" style="0" customWidth="1"/>
    <col min="20" max="20" width="9.75390625" style="0" hidden="1" customWidth="1"/>
    <col min="21" max="21" width="2.75390625" style="0" customWidth="1"/>
    <col min="22" max="22" width="10.25390625" style="0" hidden="1" customWidth="1"/>
    <col min="23" max="23" width="9.00390625" style="0" hidden="1" customWidth="1"/>
    <col min="24" max="25" width="2.50390625" style="0" hidden="1" customWidth="1"/>
    <col min="26" max="28" width="9.00390625" style="0" hidden="1" customWidth="1"/>
    <col min="29" max="29" width="10.25390625" style="0" hidden="1" customWidth="1"/>
    <col min="30" max="30" width="12.25390625" style="0" hidden="1" customWidth="1"/>
    <col min="31" max="31" width="13.00390625" style="0" hidden="1" customWidth="1"/>
    <col min="32" max="32" width="7.875" style="0" hidden="1" customWidth="1"/>
    <col min="33" max="33" width="10.75390625" style="0" hidden="1" customWidth="1"/>
    <col min="34" max="34" width="7.875" style="0" hidden="1" customWidth="1"/>
    <col min="35" max="37" width="7.125" style="0" hidden="1" customWidth="1"/>
    <col min="38" max="38" width="11.375" style="0" hidden="1" customWidth="1"/>
    <col min="39" max="39" width="7.125" style="0" hidden="1" customWidth="1"/>
    <col min="40" max="40" width="5.25390625" style="0" hidden="1" customWidth="1"/>
    <col min="41" max="47" width="7.125" style="0" hidden="1" customWidth="1"/>
    <col min="48" max="49" width="7.875" style="0" hidden="1" customWidth="1"/>
    <col min="50" max="50" width="4.625" style="0" customWidth="1"/>
    <col min="51" max="67" width="12.125" style="0" hidden="1" customWidth="1"/>
    <col min="68" max="16384" width="0" style="0" hidden="1" customWidth="1"/>
  </cols>
  <sheetData>
    <row r="1" spans="9:49" ht="13.5">
      <c r="I1" s="5" t="s">
        <v>96</v>
      </c>
      <c r="J1" s="83">
        <v>6</v>
      </c>
      <c r="L1" t="s">
        <v>20</v>
      </c>
      <c r="M1" s="19">
        <f ca="1">TODAY()</f>
        <v>45393</v>
      </c>
      <c r="N1" t="s">
        <v>106</v>
      </c>
      <c r="V1" s="81"/>
      <c r="W1" s="81"/>
      <c r="X1" s="81"/>
      <c r="Y1" s="81"/>
      <c r="Z1" s="81"/>
      <c r="AA1" s="81"/>
      <c r="AB1" s="81"/>
      <c r="AC1" s="81"/>
      <c r="AD1" s="81" t="s">
        <v>108</v>
      </c>
      <c r="AE1" s="81"/>
      <c r="AF1" s="81" t="s">
        <v>6</v>
      </c>
      <c r="AG1" s="81"/>
      <c r="AH1" s="81"/>
      <c r="AI1" s="81"/>
      <c r="AJ1" s="81" t="s">
        <v>7</v>
      </c>
      <c r="AK1" s="81"/>
      <c r="AL1" s="81"/>
      <c r="AM1" s="81"/>
      <c r="AN1" s="81"/>
      <c r="AO1" s="81" t="s">
        <v>8</v>
      </c>
      <c r="AP1" s="81"/>
      <c r="AQ1" s="81"/>
      <c r="AR1" s="81"/>
      <c r="AS1" s="82" t="s">
        <v>32</v>
      </c>
      <c r="AT1" s="81"/>
      <c r="AU1" s="81"/>
      <c r="AV1" s="81"/>
      <c r="AW1" s="81"/>
    </row>
    <row r="2" spans="2:44" ht="13.5">
      <c r="B2" s="55"/>
      <c r="I2" s="58" t="s">
        <v>48</v>
      </c>
      <c r="J2" s="59" t="s">
        <v>47</v>
      </c>
      <c r="N2" t="s">
        <v>105</v>
      </c>
      <c r="X2" s="116" t="s">
        <v>118</v>
      </c>
      <c r="Y2" s="117"/>
      <c r="Z2" s="117"/>
      <c r="AA2" s="117"/>
      <c r="AB2" s="118"/>
      <c r="AD2">
        <v>430000</v>
      </c>
      <c r="AF2" s="86">
        <f>'課税の根拠'!D6</f>
        <v>0.0682</v>
      </c>
      <c r="AG2" s="86"/>
      <c r="AH2" s="73">
        <f>'課税の根拠'!D8</f>
        <v>28500</v>
      </c>
      <c r="AI2" s="73">
        <f>'課税の根拠'!D9</f>
        <v>19800</v>
      </c>
      <c r="AJ2" s="86">
        <f>'課税の根拠'!E6</f>
        <v>0.0262</v>
      </c>
      <c r="AK2" s="86"/>
      <c r="AL2" s="73">
        <f>'課税の根拠'!E8</f>
        <v>10800</v>
      </c>
      <c r="AM2" s="73">
        <f>'課税の根拠'!E9</f>
        <v>7600</v>
      </c>
      <c r="AN2" s="74"/>
      <c r="AO2" s="87">
        <f>'課税の根拠'!F6</f>
        <v>0.0236</v>
      </c>
      <c r="AP2" s="87">
        <f>'課税の根拠'!F7</f>
        <v>0</v>
      </c>
      <c r="AQ2" s="73">
        <f>'課税の根拠'!F8</f>
        <v>12200</v>
      </c>
      <c r="AR2" s="73">
        <f>'課税の根拠'!F9</f>
        <v>6000</v>
      </c>
    </row>
    <row r="3" spans="2:49" s="15" customFormat="1" ht="13.5">
      <c r="B3" s="23"/>
      <c r="C3" s="47" t="s">
        <v>29</v>
      </c>
      <c r="D3" s="47" t="s">
        <v>30</v>
      </c>
      <c r="E3" s="47" t="s">
        <v>31</v>
      </c>
      <c r="F3" s="47" t="s">
        <v>27</v>
      </c>
      <c r="G3" s="47" t="s">
        <v>41</v>
      </c>
      <c r="H3" s="47" t="s">
        <v>42</v>
      </c>
      <c r="I3" s="7" t="s">
        <v>18</v>
      </c>
      <c r="J3" s="7" t="s">
        <v>19</v>
      </c>
      <c r="K3" s="7" t="s">
        <v>0</v>
      </c>
      <c r="L3" s="8" t="s">
        <v>28</v>
      </c>
      <c r="M3" s="17">
        <f>DATE($J$1+1989-75,1,1)</f>
        <v>7306</v>
      </c>
      <c r="N3" s="115" t="s">
        <v>1</v>
      </c>
      <c r="O3" s="115"/>
      <c r="P3" s="7" t="s">
        <v>21</v>
      </c>
      <c r="Q3" s="7" t="s">
        <v>68</v>
      </c>
      <c r="R3" s="7" t="s">
        <v>69</v>
      </c>
      <c r="S3" s="7" t="s">
        <v>70</v>
      </c>
      <c r="T3" s="103"/>
      <c r="V3" s="8" t="s">
        <v>2</v>
      </c>
      <c r="W3" s="109" t="s">
        <v>3</v>
      </c>
      <c r="X3" s="112" t="s">
        <v>113</v>
      </c>
      <c r="Y3" s="113" t="s">
        <v>114</v>
      </c>
      <c r="Z3" s="113" t="s">
        <v>115</v>
      </c>
      <c r="AA3" s="113" t="s">
        <v>116</v>
      </c>
      <c r="AB3" s="114" t="s">
        <v>117</v>
      </c>
      <c r="AC3" s="110" t="s">
        <v>4</v>
      </c>
      <c r="AD3" s="8" t="str">
        <f>"所得計-"&amp;AD2/10000&amp;"万"</f>
        <v>所得計-43万</v>
      </c>
      <c r="AE3" s="16" t="s">
        <v>9</v>
      </c>
      <c r="AF3" s="16" t="s">
        <v>5</v>
      </c>
      <c r="AG3" s="16" t="s">
        <v>98</v>
      </c>
      <c r="AH3" s="16" t="s">
        <v>11</v>
      </c>
      <c r="AI3" s="16" t="s">
        <v>12</v>
      </c>
      <c r="AJ3" s="16" t="s">
        <v>5</v>
      </c>
      <c r="AK3" s="16" t="s">
        <v>98</v>
      </c>
      <c r="AL3" s="16" t="s">
        <v>11</v>
      </c>
      <c r="AM3" s="16" t="s">
        <v>12</v>
      </c>
      <c r="AN3" s="16" t="s">
        <v>9</v>
      </c>
      <c r="AO3" s="16" t="s">
        <v>5</v>
      </c>
      <c r="AP3" s="16" t="s">
        <v>10</v>
      </c>
      <c r="AQ3" s="16" t="s">
        <v>11</v>
      </c>
      <c r="AR3" s="16" t="s">
        <v>12</v>
      </c>
      <c r="AS3" s="33" t="s">
        <v>5</v>
      </c>
      <c r="AT3" s="33" t="s">
        <v>10</v>
      </c>
      <c r="AU3" s="33" t="s">
        <v>11</v>
      </c>
      <c r="AV3" s="15" t="s">
        <v>14</v>
      </c>
      <c r="AW3" s="33" t="s">
        <v>12</v>
      </c>
    </row>
    <row r="4" spans="2:49" ht="13.5">
      <c r="B4" s="6" t="s">
        <v>17</v>
      </c>
      <c r="C4" s="32">
        <f aca="true" t="shared" si="0" ref="C4:C13">IF(I4="後期",1,0)</f>
        <v>0</v>
      </c>
      <c r="D4" s="32">
        <f aca="true" t="shared" si="1" ref="D4:D13">IF(I4="社保",1,0)</f>
        <v>0</v>
      </c>
      <c r="E4" s="32">
        <f aca="true" t="shared" si="2" ref="E4:E13">IF(F4=1,0,IF(I4="国保",1,0))</f>
        <v>1</v>
      </c>
      <c r="F4" s="32">
        <f>IF(N4="",0,IF(N4="ｴﾗｰ",0,IF(N4&gt;=75,1,0)))</f>
        <v>0</v>
      </c>
      <c r="G4" s="32">
        <f>IF(C4+F4=0,0,1)</f>
        <v>0</v>
      </c>
      <c r="H4" s="32">
        <f>IF(D4=1,0,IF(G4=0,1,0))</f>
        <v>1</v>
      </c>
      <c r="I4" s="57" t="s">
        <v>112</v>
      </c>
      <c r="J4" s="11"/>
      <c r="K4" s="9"/>
      <c r="L4" s="10">
        <f aca="true" t="shared" si="3" ref="L4:L12">IF(K4&gt;1,1,0)+IF(O4="",0,2)</f>
        <v>0</v>
      </c>
      <c r="M4" s="18">
        <f>DATE($J$1+2019,1,1)</f>
        <v>45658</v>
      </c>
      <c r="N4" s="10">
        <f aca="true" t="shared" si="4" ref="N4:N12">IF(L4=3,"ｴﾗｰ",IF(L4=2,O4,IF(L4=1,IF(M4&lt;K4,0,DATEDIF(K4,M4,"Y")),"")))</f>
      </c>
      <c r="O4" s="11"/>
      <c r="P4" s="11"/>
      <c r="Q4" s="12"/>
      <c r="R4" s="12"/>
      <c r="S4" s="12"/>
      <c r="T4" s="104"/>
      <c r="V4" s="13">
        <f>IF(P4=IF(N4&gt;65,2,1),ROUNDDOWN('給与所得'!D2,0)*0.3,ROUNDDOWN('給与所得'!D2,0))</f>
        <v>0</v>
      </c>
      <c r="W4" s="13">
        <f>'公的年金所得'!N5</f>
        <v>0</v>
      </c>
      <c r="X4" s="111">
        <f>IF(V4=0,0,1)</f>
        <v>0</v>
      </c>
      <c r="Y4" s="111">
        <f>IF(W4=0,0,1)</f>
        <v>0</v>
      </c>
      <c r="Z4" s="111">
        <f>IF(X4+Y4=2,IF(V4&gt;100000,100000,V4),0)</f>
        <v>0</v>
      </c>
      <c r="AA4" s="111">
        <f>IF(X4+Y4=2,IF(W4&gt;100000,100000,W4),0)</f>
        <v>0</v>
      </c>
      <c r="AB4" s="111">
        <f>IF(X4+Y4=2,IF(Z4+AA4&gt;100000,Z4+AA4-100000,Z4+AA4),0)</f>
        <v>0</v>
      </c>
      <c r="AC4" s="13">
        <f>V4+W4+S4-AB4</f>
        <v>0</v>
      </c>
      <c r="AD4" s="13">
        <f>IF(AC4-$AD$2&gt;0,AC4-$AD$2,0)</f>
        <v>0</v>
      </c>
      <c r="AE4" s="14">
        <f aca="true" t="shared" si="5" ref="AE4:AE13">IF($N4="",0,1)*H4</f>
        <v>0</v>
      </c>
      <c r="AF4" s="3">
        <f>AD4*$AF$2*AE4</f>
        <v>0</v>
      </c>
      <c r="AG4" s="3"/>
      <c r="AH4">
        <f>AE4*$AH$2</f>
        <v>0</v>
      </c>
      <c r="AI4">
        <f>IF(SUM(AE4:AE13)&gt;=1,AI2,0)</f>
        <v>0</v>
      </c>
      <c r="AJ4" s="3">
        <f>AD4*$AJ$2*AE4</f>
        <v>0</v>
      </c>
      <c r="AK4" s="3"/>
      <c r="AL4">
        <f>AE4*$AL$2</f>
        <v>0</v>
      </c>
      <c r="AM4">
        <f>IF(SUM(AE4:AE13)&gt;=1,AM2,0)</f>
        <v>0</v>
      </c>
      <c r="AN4" s="14">
        <f aca="true" t="shared" si="6" ref="AN4:AN13">IF(AND($N4&gt;=40,$N4&lt;65)=TRUE,1,0)*H4</f>
        <v>0</v>
      </c>
      <c r="AO4" s="3">
        <f>AD4*$AO$2*AN4</f>
        <v>0</v>
      </c>
      <c r="AP4" s="3">
        <f aca="true" t="shared" si="7" ref="AP4:AP13">T4*$AP$2*AN4</f>
        <v>0</v>
      </c>
      <c r="AQ4">
        <f>AN4*$AQ$2</f>
        <v>0</v>
      </c>
      <c r="AR4">
        <f>IF(SUM(AN4:AN13)&gt;=1,AR2,0)</f>
        <v>0</v>
      </c>
      <c r="AS4" s="2">
        <f>AF4+AJ4+AO4</f>
        <v>0</v>
      </c>
      <c r="AT4" s="2">
        <f>AG4+AK4+AP4</f>
        <v>0</v>
      </c>
      <c r="AU4" s="2">
        <f>AH4+AL4+AQ4</f>
        <v>0</v>
      </c>
      <c r="AV4" s="2">
        <f aca="true" t="shared" si="8" ref="AV4:AV13">SUM(AS4:AU4)</f>
        <v>0</v>
      </c>
      <c r="AW4">
        <f>AI4+AM4+AR4</f>
        <v>0</v>
      </c>
    </row>
    <row r="5" spans="2:48" ht="13.5">
      <c r="B5" s="7">
        <v>2</v>
      </c>
      <c r="C5" s="32">
        <f t="shared" si="0"/>
        <v>0</v>
      </c>
      <c r="D5" s="32">
        <f t="shared" si="1"/>
        <v>0</v>
      </c>
      <c r="E5" s="32">
        <f t="shared" si="2"/>
        <v>0</v>
      </c>
      <c r="F5" s="32">
        <f aca="true" t="shared" si="9" ref="F5:F13">IF(N5="",0,IF(N5="ｴﾗｰ",0,IF(N5&gt;=75,1,0)))</f>
        <v>0</v>
      </c>
      <c r="G5" s="32">
        <f aca="true" t="shared" si="10" ref="G5:G13">IF(C5+F5=0,0,1)</f>
        <v>0</v>
      </c>
      <c r="H5" s="32">
        <f aca="true" t="shared" si="11" ref="H5:H13">IF(D5=1,0,IF(G5=0,1,0))</f>
        <v>1</v>
      </c>
      <c r="I5" s="57"/>
      <c r="J5" s="11"/>
      <c r="K5" s="9"/>
      <c r="L5" s="10">
        <f t="shared" si="3"/>
        <v>0</v>
      </c>
      <c r="M5" s="18">
        <f>M4</f>
        <v>45658</v>
      </c>
      <c r="N5" s="10">
        <f t="shared" si="4"/>
      </c>
      <c r="O5" s="11"/>
      <c r="P5" s="11"/>
      <c r="Q5" s="12"/>
      <c r="R5" s="12"/>
      <c r="S5" s="12"/>
      <c r="T5" s="104"/>
      <c r="V5" s="13">
        <f>IF(P5=IF(N5&gt;65,2,1),ROUNDDOWN('給与所得'!D3,0)*0.3,ROUNDDOWN('給与所得'!D3,0))</f>
        <v>0</v>
      </c>
      <c r="W5" s="13">
        <f>'公的年金所得'!N6</f>
        <v>0</v>
      </c>
      <c r="X5" s="13">
        <f aca="true" t="shared" si="12" ref="X5:X13">IF(V5=0,0,1)</f>
        <v>0</v>
      </c>
      <c r="Y5" s="13">
        <f aca="true" t="shared" si="13" ref="Y5:Y13">IF(W5=0,0,1)</f>
        <v>0</v>
      </c>
      <c r="Z5" s="13">
        <f aca="true" t="shared" si="14" ref="Z5:Z13">IF(X5+Y5=2,IF(V5&gt;100000,100000,V5),0)</f>
        <v>0</v>
      </c>
      <c r="AA5" s="13">
        <f aca="true" t="shared" si="15" ref="AA5:AA13">IF(X5+Y5=2,IF(W5&gt;100000,100000,W5),0)</f>
        <v>0</v>
      </c>
      <c r="AB5" s="13">
        <f aca="true" t="shared" si="16" ref="AB5:AB13">IF(X5+Y5=2,IF(Z5+AA5&gt;100000,Z5+AA5-100000,Z5+AA5),0)</f>
        <v>0</v>
      </c>
      <c r="AC5" s="13">
        <f aca="true" t="shared" si="17" ref="AC5:AC13">V5+W5+S5-AB5</f>
        <v>0</v>
      </c>
      <c r="AD5" s="13">
        <f aca="true" t="shared" si="18" ref="AD5:AD13">IF(AC5-$AD$2&gt;0,AC5-$AD$2,0)</f>
        <v>0</v>
      </c>
      <c r="AE5" s="14">
        <f t="shared" si="5"/>
        <v>0</v>
      </c>
      <c r="AF5" s="3">
        <f aca="true" t="shared" si="19" ref="AF5:AF13">AD5*$AF$2*AE5</f>
        <v>0</v>
      </c>
      <c r="AG5" s="88">
        <f aca="true" t="shared" si="20" ref="AG5:AG13">IF(O5="",0,IF(N5&lt;7,0.5,1))+IF(K5="",0,IF(K5&gt;=DATE($J$1+2012,4,2),0.5,1))</f>
        <v>0</v>
      </c>
      <c r="AH5">
        <f>AE5*$AH$2*AG5</f>
        <v>0</v>
      </c>
      <c r="AJ5" s="3">
        <f aca="true" t="shared" si="21" ref="AJ5:AJ13">AD5*$AJ$2*AE5</f>
        <v>0</v>
      </c>
      <c r="AK5" s="88">
        <f aca="true" t="shared" si="22" ref="AK5:AK13">IF(O5="",0,IF(N5&lt;7,0.5,1))+IF(K5="",0,IF(K5&gt;=DATE($J$1+2012,4,2),0.5,1))</f>
        <v>0</v>
      </c>
      <c r="AL5">
        <f>AE5*$AL$2*AK5</f>
        <v>0</v>
      </c>
      <c r="AN5" s="14">
        <f t="shared" si="6"/>
        <v>0</v>
      </c>
      <c r="AO5" s="3">
        <f aca="true" t="shared" si="23" ref="AO5:AO13">AD5*$AO$2*AN5</f>
        <v>0</v>
      </c>
      <c r="AP5" s="3">
        <f t="shared" si="7"/>
        <v>0</v>
      </c>
      <c r="AQ5">
        <f aca="true" t="shared" si="24" ref="AQ5:AQ13">AN5*$AQ$2</f>
        <v>0</v>
      </c>
      <c r="AS5" s="2">
        <f aca="true" t="shared" si="25" ref="AS5:AS13">AF5+AJ5+AO5</f>
        <v>0</v>
      </c>
      <c r="AT5" s="2">
        <f aca="true" t="shared" si="26" ref="AT5:AT13">AG5+AK5+AP5</f>
        <v>0</v>
      </c>
      <c r="AU5" s="2">
        <f aca="true" t="shared" si="27" ref="AU5:AU13">AH5+AL5+AQ5</f>
        <v>0</v>
      </c>
      <c r="AV5" s="2">
        <f t="shared" si="8"/>
        <v>0</v>
      </c>
    </row>
    <row r="6" spans="2:48" ht="13.5">
      <c r="B6" s="7">
        <v>3</v>
      </c>
      <c r="C6" s="32">
        <f t="shared" si="0"/>
        <v>0</v>
      </c>
      <c r="D6" s="32">
        <f t="shared" si="1"/>
        <v>0</v>
      </c>
      <c r="E6" s="32">
        <f t="shared" si="2"/>
        <v>0</v>
      </c>
      <c r="F6" s="32">
        <f t="shared" si="9"/>
        <v>0</v>
      </c>
      <c r="G6" s="32">
        <f t="shared" si="10"/>
        <v>0</v>
      </c>
      <c r="H6" s="32">
        <f t="shared" si="11"/>
        <v>1</v>
      </c>
      <c r="I6" s="57"/>
      <c r="J6" s="11"/>
      <c r="K6" s="9"/>
      <c r="L6" s="10">
        <f t="shared" si="3"/>
        <v>0</v>
      </c>
      <c r="M6" s="18">
        <f aca="true" t="shared" si="28" ref="M6:M13">M5</f>
        <v>45658</v>
      </c>
      <c r="N6" s="10">
        <f t="shared" si="4"/>
      </c>
      <c r="O6" s="11"/>
      <c r="P6" s="11"/>
      <c r="Q6" s="12"/>
      <c r="R6" s="12"/>
      <c r="S6" s="12"/>
      <c r="T6" s="104"/>
      <c r="V6" s="13">
        <f>IF(P6=IF(N6&gt;65,2,1),ROUNDDOWN('給与所得'!D4,0)*0.3,ROUNDDOWN('給与所得'!D4,0))</f>
        <v>0</v>
      </c>
      <c r="W6" s="13">
        <f>'公的年金所得'!N7</f>
        <v>0</v>
      </c>
      <c r="X6" s="13">
        <f t="shared" si="12"/>
        <v>0</v>
      </c>
      <c r="Y6" s="13">
        <f t="shared" si="13"/>
        <v>0</v>
      </c>
      <c r="Z6" s="13">
        <f t="shared" si="14"/>
        <v>0</v>
      </c>
      <c r="AA6" s="13">
        <f t="shared" si="15"/>
        <v>0</v>
      </c>
      <c r="AB6" s="13">
        <f t="shared" si="16"/>
        <v>0</v>
      </c>
      <c r="AC6" s="13">
        <f t="shared" si="17"/>
        <v>0</v>
      </c>
      <c r="AD6" s="13">
        <f t="shared" si="18"/>
        <v>0</v>
      </c>
      <c r="AE6" s="14">
        <f t="shared" si="5"/>
        <v>0</v>
      </c>
      <c r="AF6" s="3">
        <f t="shared" si="19"/>
        <v>0</v>
      </c>
      <c r="AG6" s="88">
        <f t="shared" si="20"/>
        <v>0</v>
      </c>
      <c r="AH6">
        <f aca="true" t="shared" si="29" ref="AH6:AH13">AE6*$AH$2*AG6</f>
        <v>0</v>
      </c>
      <c r="AJ6" s="3">
        <f t="shared" si="21"/>
        <v>0</v>
      </c>
      <c r="AK6" s="88">
        <f t="shared" si="22"/>
        <v>0</v>
      </c>
      <c r="AL6">
        <f aca="true" t="shared" si="30" ref="AL6:AL13">AE6*$AL$2*AK6</f>
        <v>0</v>
      </c>
      <c r="AN6" s="14">
        <f t="shared" si="6"/>
        <v>0</v>
      </c>
      <c r="AO6" s="3">
        <f t="shared" si="23"/>
        <v>0</v>
      </c>
      <c r="AP6" s="3">
        <f t="shared" si="7"/>
        <v>0</v>
      </c>
      <c r="AQ6">
        <f t="shared" si="24"/>
        <v>0</v>
      </c>
      <c r="AS6" s="2">
        <f t="shared" si="25"/>
        <v>0</v>
      </c>
      <c r="AT6" s="2">
        <f t="shared" si="26"/>
        <v>0</v>
      </c>
      <c r="AU6" s="2">
        <f t="shared" si="27"/>
        <v>0</v>
      </c>
      <c r="AV6" s="2">
        <f t="shared" si="8"/>
        <v>0</v>
      </c>
    </row>
    <row r="7" spans="2:48" ht="13.5">
      <c r="B7" s="7">
        <v>4</v>
      </c>
      <c r="C7" s="32">
        <f t="shared" si="0"/>
        <v>0</v>
      </c>
      <c r="D7" s="32">
        <f t="shared" si="1"/>
        <v>0</v>
      </c>
      <c r="E7" s="32">
        <f t="shared" si="2"/>
        <v>0</v>
      </c>
      <c r="F7" s="32">
        <f t="shared" si="9"/>
        <v>0</v>
      </c>
      <c r="G7" s="32">
        <f t="shared" si="10"/>
        <v>0</v>
      </c>
      <c r="H7" s="32">
        <f t="shared" si="11"/>
        <v>1</v>
      </c>
      <c r="I7" s="57"/>
      <c r="J7" s="11"/>
      <c r="K7" s="9"/>
      <c r="L7" s="10">
        <f t="shared" si="3"/>
        <v>0</v>
      </c>
      <c r="M7" s="18">
        <f t="shared" si="28"/>
        <v>45658</v>
      </c>
      <c r="N7" s="10">
        <f t="shared" si="4"/>
      </c>
      <c r="O7" s="11"/>
      <c r="P7" s="11"/>
      <c r="Q7" s="12"/>
      <c r="R7" s="12"/>
      <c r="S7" s="12"/>
      <c r="T7" s="104"/>
      <c r="V7" s="13">
        <f>IF(P7=IF(N7&gt;65,2,1),ROUNDDOWN('給与所得'!D5,0)*0.3,ROUNDDOWN('給与所得'!D5,0))</f>
        <v>0</v>
      </c>
      <c r="W7" s="13">
        <f>'公的年金所得'!N8</f>
        <v>0</v>
      </c>
      <c r="X7" s="13">
        <f t="shared" si="12"/>
        <v>0</v>
      </c>
      <c r="Y7" s="13">
        <f t="shared" si="13"/>
        <v>0</v>
      </c>
      <c r="Z7" s="13">
        <f t="shared" si="14"/>
        <v>0</v>
      </c>
      <c r="AA7" s="13">
        <f t="shared" si="15"/>
        <v>0</v>
      </c>
      <c r="AB7" s="13">
        <f t="shared" si="16"/>
        <v>0</v>
      </c>
      <c r="AC7" s="13">
        <f t="shared" si="17"/>
        <v>0</v>
      </c>
      <c r="AD7" s="13">
        <f t="shared" si="18"/>
        <v>0</v>
      </c>
      <c r="AE7" s="14">
        <f t="shared" si="5"/>
        <v>0</v>
      </c>
      <c r="AF7" s="3">
        <f t="shared" si="19"/>
        <v>0</v>
      </c>
      <c r="AG7" s="88">
        <f t="shared" si="20"/>
        <v>0</v>
      </c>
      <c r="AH7">
        <f t="shared" si="29"/>
        <v>0</v>
      </c>
      <c r="AJ7" s="3">
        <f t="shared" si="21"/>
        <v>0</v>
      </c>
      <c r="AK7" s="88">
        <f t="shared" si="22"/>
        <v>0</v>
      </c>
      <c r="AL7">
        <f t="shared" si="30"/>
        <v>0</v>
      </c>
      <c r="AN7" s="14">
        <f t="shared" si="6"/>
        <v>0</v>
      </c>
      <c r="AO7" s="3">
        <f t="shared" si="23"/>
        <v>0</v>
      </c>
      <c r="AP7" s="3">
        <f t="shared" si="7"/>
        <v>0</v>
      </c>
      <c r="AQ7">
        <f t="shared" si="24"/>
        <v>0</v>
      </c>
      <c r="AS7" s="2">
        <f t="shared" si="25"/>
        <v>0</v>
      </c>
      <c r="AT7" s="2">
        <f t="shared" si="26"/>
        <v>0</v>
      </c>
      <c r="AU7" s="2">
        <f t="shared" si="27"/>
        <v>0</v>
      </c>
      <c r="AV7" s="2">
        <f t="shared" si="8"/>
        <v>0</v>
      </c>
    </row>
    <row r="8" spans="2:48" ht="13.5">
      <c r="B8" s="7">
        <v>5</v>
      </c>
      <c r="C8" s="32">
        <f t="shared" si="0"/>
        <v>0</v>
      </c>
      <c r="D8" s="32">
        <f t="shared" si="1"/>
        <v>0</v>
      </c>
      <c r="E8" s="32">
        <f t="shared" si="2"/>
        <v>0</v>
      </c>
      <c r="F8" s="32">
        <f t="shared" si="9"/>
        <v>0</v>
      </c>
      <c r="G8" s="32">
        <f t="shared" si="10"/>
        <v>0</v>
      </c>
      <c r="H8" s="32">
        <f t="shared" si="11"/>
        <v>1</v>
      </c>
      <c r="I8" s="57"/>
      <c r="J8" s="11"/>
      <c r="K8" s="9"/>
      <c r="L8" s="10">
        <f t="shared" si="3"/>
        <v>0</v>
      </c>
      <c r="M8" s="18">
        <f t="shared" si="28"/>
        <v>45658</v>
      </c>
      <c r="N8" s="10">
        <f t="shared" si="4"/>
      </c>
      <c r="O8" s="11"/>
      <c r="P8" s="11"/>
      <c r="Q8" s="12"/>
      <c r="R8" s="12"/>
      <c r="S8" s="12"/>
      <c r="T8" s="104"/>
      <c r="V8" s="13">
        <f>IF(P8=IF(N8&gt;65,2,1),ROUNDDOWN('給与所得'!D6,0)*0.3,ROUNDDOWN('給与所得'!D6,0))</f>
        <v>0</v>
      </c>
      <c r="W8" s="13">
        <f>'公的年金所得'!N9</f>
        <v>0</v>
      </c>
      <c r="X8" s="13">
        <f t="shared" si="12"/>
        <v>0</v>
      </c>
      <c r="Y8" s="13">
        <f t="shared" si="13"/>
        <v>0</v>
      </c>
      <c r="Z8" s="13">
        <f t="shared" si="14"/>
        <v>0</v>
      </c>
      <c r="AA8" s="13">
        <f t="shared" si="15"/>
        <v>0</v>
      </c>
      <c r="AB8" s="13">
        <f t="shared" si="16"/>
        <v>0</v>
      </c>
      <c r="AC8" s="13">
        <f t="shared" si="17"/>
        <v>0</v>
      </c>
      <c r="AD8" s="13">
        <f t="shared" si="18"/>
        <v>0</v>
      </c>
      <c r="AE8" s="14">
        <f t="shared" si="5"/>
        <v>0</v>
      </c>
      <c r="AF8" s="3">
        <f t="shared" si="19"/>
        <v>0</v>
      </c>
      <c r="AG8" s="88">
        <f t="shared" si="20"/>
        <v>0</v>
      </c>
      <c r="AH8">
        <f t="shared" si="29"/>
        <v>0</v>
      </c>
      <c r="AJ8" s="3">
        <f t="shared" si="21"/>
        <v>0</v>
      </c>
      <c r="AK8" s="88">
        <f t="shared" si="22"/>
        <v>0</v>
      </c>
      <c r="AL8">
        <f t="shared" si="30"/>
        <v>0</v>
      </c>
      <c r="AN8" s="14">
        <f t="shared" si="6"/>
        <v>0</v>
      </c>
      <c r="AO8" s="3">
        <f t="shared" si="23"/>
        <v>0</v>
      </c>
      <c r="AP8" s="3">
        <f t="shared" si="7"/>
        <v>0</v>
      </c>
      <c r="AQ8">
        <f t="shared" si="24"/>
        <v>0</v>
      </c>
      <c r="AS8" s="2">
        <f t="shared" si="25"/>
        <v>0</v>
      </c>
      <c r="AT8" s="2">
        <f t="shared" si="26"/>
        <v>0</v>
      </c>
      <c r="AU8" s="2">
        <f t="shared" si="27"/>
        <v>0</v>
      </c>
      <c r="AV8" s="2">
        <f t="shared" si="8"/>
        <v>0</v>
      </c>
    </row>
    <row r="9" spans="2:48" ht="13.5">
      <c r="B9" s="7">
        <v>6</v>
      </c>
      <c r="C9" s="32">
        <f t="shared" si="0"/>
        <v>0</v>
      </c>
      <c r="D9" s="32">
        <f t="shared" si="1"/>
        <v>0</v>
      </c>
      <c r="E9" s="32">
        <f t="shared" si="2"/>
        <v>0</v>
      </c>
      <c r="F9" s="32">
        <f t="shared" si="9"/>
        <v>0</v>
      </c>
      <c r="G9" s="32">
        <f t="shared" si="10"/>
        <v>0</v>
      </c>
      <c r="H9" s="32">
        <f t="shared" si="11"/>
        <v>1</v>
      </c>
      <c r="I9" s="57"/>
      <c r="J9" s="11"/>
      <c r="K9" s="9"/>
      <c r="L9" s="10">
        <f t="shared" si="3"/>
        <v>0</v>
      </c>
      <c r="M9" s="18">
        <f t="shared" si="28"/>
        <v>45658</v>
      </c>
      <c r="N9" s="10">
        <f t="shared" si="4"/>
      </c>
      <c r="O9" s="11"/>
      <c r="P9" s="11"/>
      <c r="Q9" s="12"/>
      <c r="R9" s="12"/>
      <c r="S9" s="12"/>
      <c r="T9" s="104"/>
      <c r="V9" s="13">
        <f>IF(P9=IF(N9&gt;65,2,1),ROUNDDOWN('給与所得'!D7,0)*0.3,ROUNDDOWN('給与所得'!D7,0))</f>
        <v>0</v>
      </c>
      <c r="W9" s="13">
        <f>'公的年金所得'!N10</f>
        <v>0</v>
      </c>
      <c r="X9" s="13">
        <f t="shared" si="12"/>
        <v>0</v>
      </c>
      <c r="Y9" s="13">
        <f t="shared" si="13"/>
        <v>0</v>
      </c>
      <c r="Z9" s="13">
        <f t="shared" si="14"/>
        <v>0</v>
      </c>
      <c r="AA9" s="13">
        <f t="shared" si="15"/>
        <v>0</v>
      </c>
      <c r="AB9" s="13">
        <f t="shared" si="16"/>
        <v>0</v>
      </c>
      <c r="AC9" s="13">
        <f t="shared" si="17"/>
        <v>0</v>
      </c>
      <c r="AD9" s="13">
        <f t="shared" si="18"/>
        <v>0</v>
      </c>
      <c r="AE9" s="14">
        <f t="shared" si="5"/>
        <v>0</v>
      </c>
      <c r="AF9" s="3">
        <f t="shared" si="19"/>
        <v>0</v>
      </c>
      <c r="AG9" s="88">
        <f t="shared" si="20"/>
        <v>0</v>
      </c>
      <c r="AH9">
        <f t="shared" si="29"/>
        <v>0</v>
      </c>
      <c r="AJ9" s="3">
        <f t="shared" si="21"/>
        <v>0</v>
      </c>
      <c r="AK9" s="88">
        <f t="shared" si="22"/>
        <v>0</v>
      </c>
      <c r="AL9">
        <f t="shared" si="30"/>
        <v>0</v>
      </c>
      <c r="AN9" s="14">
        <f t="shared" si="6"/>
        <v>0</v>
      </c>
      <c r="AO9" s="3">
        <f t="shared" si="23"/>
        <v>0</v>
      </c>
      <c r="AP9" s="3">
        <f t="shared" si="7"/>
        <v>0</v>
      </c>
      <c r="AQ9">
        <f t="shared" si="24"/>
        <v>0</v>
      </c>
      <c r="AS9" s="2">
        <f t="shared" si="25"/>
        <v>0</v>
      </c>
      <c r="AT9" s="2">
        <f t="shared" si="26"/>
        <v>0</v>
      </c>
      <c r="AU9" s="2">
        <f t="shared" si="27"/>
        <v>0</v>
      </c>
      <c r="AV9" s="2">
        <f t="shared" si="8"/>
        <v>0</v>
      </c>
    </row>
    <row r="10" spans="2:48" ht="13.5">
      <c r="B10" s="7">
        <v>7</v>
      </c>
      <c r="C10" s="32">
        <f t="shared" si="0"/>
        <v>0</v>
      </c>
      <c r="D10" s="32">
        <f t="shared" si="1"/>
        <v>0</v>
      </c>
      <c r="E10" s="32">
        <f t="shared" si="2"/>
        <v>0</v>
      </c>
      <c r="F10" s="32">
        <f t="shared" si="9"/>
        <v>0</v>
      </c>
      <c r="G10" s="32">
        <f t="shared" si="10"/>
        <v>0</v>
      </c>
      <c r="H10" s="32">
        <f t="shared" si="11"/>
        <v>1</v>
      </c>
      <c r="I10" s="57"/>
      <c r="J10" s="11"/>
      <c r="K10" s="9"/>
      <c r="L10" s="10">
        <f t="shared" si="3"/>
        <v>0</v>
      </c>
      <c r="M10" s="18">
        <f t="shared" si="28"/>
        <v>45658</v>
      </c>
      <c r="N10" s="10">
        <f t="shared" si="4"/>
      </c>
      <c r="O10" s="11"/>
      <c r="P10" s="11"/>
      <c r="Q10" s="12"/>
      <c r="R10" s="12"/>
      <c r="S10" s="12"/>
      <c r="T10" s="104"/>
      <c r="V10" s="13">
        <f>IF(P10=IF(N10&gt;65,2,1),ROUNDDOWN('給与所得'!D8,0)*0.3,ROUNDDOWN('給与所得'!D8,0))</f>
        <v>0</v>
      </c>
      <c r="W10" s="13">
        <f>'公的年金所得'!N11</f>
        <v>0</v>
      </c>
      <c r="X10" s="13">
        <f t="shared" si="12"/>
        <v>0</v>
      </c>
      <c r="Y10" s="13">
        <f t="shared" si="13"/>
        <v>0</v>
      </c>
      <c r="Z10" s="13">
        <f t="shared" si="14"/>
        <v>0</v>
      </c>
      <c r="AA10" s="13">
        <f t="shared" si="15"/>
        <v>0</v>
      </c>
      <c r="AB10" s="13">
        <f t="shared" si="16"/>
        <v>0</v>
      </c>
      <c r="AC10" s="13">
        <f t="shared" si="17"/>
        <v>0</v>
      </c>
      <c r="AD10" s="13">
        <f t="shared" si="18"/>
        <v>0</v>
      </c>
      <c r="AE10" s="14">
        <f t="shared" si="5"/>
        <v>0</v>
      </c>
      <c r="AF10" s="3">
        <f t="shared" si="19"/>
        <v>0</v>
      </c>
      <c r="AG10" s="88">
        <f t="shared" si="20"/>
        <v>0</v>
      </c>
      <c r="AH10">
        <f t="shared" si="29"/>
        <v>0</v>
      </c>
      <c r="AJ10" s="3">
        <f t="shared" si="21"/>
        <v>0</v>
      </c>
      <c r="AK10" s="88">
        <f t="shared" si="22"/>
        <v>0</v>
      </c>
      <c r="AL10">
        <f t="shared" si="30"/>
        <v>0</v>
      </c>
      <c r="AN10" s="14">
        <f t="shared" si="6"/>
        <v>0</v>
      </c>
      <c r="AO10" s="3">
        <f t="shared" si="23"/>
        <v>0</v>
      </c>
      <c r="AP10" s="3">
        <f t="shared" si="7"/>
        <v>0</v>
      </c>
      <c r="AQ10">
        <f t="shared" si="24"/>
        <v>0</v>
      </c>
      <c r="AS10" s="2">
        <f t="shared" si="25"/>
        <v>0</v>
      </c>
      <c r="AT10" s="2">
        <f t="shared" si="26"/>
        <v>0</v>
      </c>
      <c r="AU10" s="2">
        <f t="shared" si="27"/>
        <v>0</v>
      </c>
      <c r="AV10" s="2">
        <f t="shared" si="8"/>
        <v>0</v>
      </c>
    </row>
    <row r="11" spans="2:48" ht="13.5">
      <c r="B11" s="7">
        <v>8</v>
      </c>
      <c r="C11" s="32">
        <f t="shared" si="0"/>
        <v>0</v>
      </c>
      <c r="D11" s="32">
        <f t="shared" si="1"/>
        <v>0</v>
      </c>
      <c r="E11" s="32">
        <f t="shared" si="2"/>
        <v>0</v>
      </c>
      <c r="F11" s="32">
        <f t="shared" si="9"/>
        <v>0</v>
      </c>
      <c r="G11" s="32">
        <f t="shared" si="10"/>
        <v>0</v>
      </c>
      <c r="H11" s="32">
        <f t="shared" si="11"/>
        <v>1</v>
      </c>
      <c r="I11" s="57"/>
      <c r="J11" s="11"/>
      <c r="K11" s="9"/>
      <c r="L11" s="10">
        <f>IF(K11&gt;1,1,0)+IF(O11="",0,2)</f>
        <v>0</v>
      </c>
      <c r="M11" s="18">
        <f t="shared" si="28"/>
        <v>45658</v>
      </c>
      <c r="N11" s="10">
        <f>IF(L11=3,"ｴﾗｰ",IF(L11=2,O11,IF(L11=1,IF(M11&lt;K11,0,DATEDIF(K11,M11,"Y")),"")))</f>
      </c>
      <c r="O11" s="11"/>
      <c r="P11" s="11"/>
      <c r="Q11" s="12"/>
      <c r="R11" s="12"/>
      <c r="S11" s="12"/>
      <c r="T11" s="104"/>
      <c r="V11" s="13">
        <f>IF(P11=IF(N11&gt;65,2,1),ROUNDDOWN('給与所得'!D9,0)*0.3,ROUNDDOWN('給与所得'!D9,0))</f>
        <v>0</v>
      </c>
      <c r="W11" s="13">
        <f>'公的年金所得'!N12</f>
        <v>0</v>
      </c>
      <c r="X11" s="13">
        <f t="shared" si="12"/>
        <v>0</v>
      </c>
      <c r="Y11" s="13">
        <f t="shared" si="13"/>
        <v>0</v>
      </c>
      <c r="Z11" s="13">
        <f t="shared" si="14"/>
        <v>0</v>
      </c>
      <c r="AA11" s="13">
        <f t="shared" si="15"/>
        <v>0</v>
      </c>
      <c r="AB11" s="13">
        <f t="shared" si="16"/>
        <v>0</v>
      </c>
      <c r="AC11" s="13">
        <f t="shared" si="17"/>
        <v>0</v>
      </c>
      <c r="AD11" s="13">
        <f t="shared" si="18"/>
        <v>0</v>
      </c>
      <c r="AE11" s="14">
        <f t="shared" si="5"/>
        <v>0</v>
      </c>
      <c r="AF11" s="3">
        <f t="shared" si="19"/>
        <v>0</v>
      </c>
      <c r="AG11" s="88">
        <f t="shared" si="20"/>
        <v>0</v>
      </c>
      <c r="AH11">
        <f t="shared" si="29"/>
        <v>0</v>
      </c>
      <c r="AJ11" s="3">
        <f t="shared" si="21"/>
        <v>0</v>
      </c>
      <c r="AK11" s="88">
        <f t="shared" si="22"/>
        <v>0</v>
      </c>
      <c r="AL11">
        <f t="shared" si="30"/>
        <v>0</v>
      </c>
      <c r="AN11" s="14">
        <f t="shared" si="6"/>
        <v>0</v>
      </c>
      <c r="AO11" s="3">
        <f t="shared" si="23"/>
        <v>0</v>
      </c>
      <c r="AP11" s="3">
        <f t="shared" si="7"/>
        <v>0</v>
      </c>
      <c r="AQ11">
        <f t="shared" si="24"/>
        <v>0</v>
      </c>
      <c r="AS11" s="2">
        <f t="shared" si="25"/>
        <v>0</v>
      </c>
      <c r="AT11" s="2">
        <f t="shared" si="26"/>
        <v>0</v>
      </c>
      <c r="AU11" s="2">
        <f t="shared" si="27"/>
        <v>0</v>
      </c>
      <c r="AV11" s="2">
        <f t="shared" si="8"/>
        <v>0</v>
      </c>
    </row>
    <row r="12" spans="2:48" ht="13.5">
      <c r="B12" s="7">
        <v>9</v>
      </c>
      <c r="C12" s="32">
        <f t="shared" si="0"/>
        <v>0</v>
      </c>
      <c r="D12" s="32">
        <f t="shared" si="1"/>
        <v>0</v>
      </c>
      <c r="E12" s="32">
        <f t="shared" si="2"/>
        <v>0</v>
      </c>
      <c r="F12" s="32">
        <f t="shared" si="9"/>
        <v>0</v>
      </c>
      <c r="G12" s="32">
        <f t="shared" si="10"/>
        <v>0</v>
      </c>
      <c r="H12" s="32">
        <f t="shared" si="11"/>
        <v>1</v>
      </c>
      <c r="I12" s="57"/>
      <c r="J12" s="11"/>
      <c r="K12" s="9"/>
      <c r="L12" s="10">
        <f t="shared" si="3"/>
        <v>0</v>
      </c>
      <c r="M12" s="18">
        <f t="shared" si="28"/>
        <v>45658</v>
      </c>
      <c r="N12" s="10">
        <f t="shared" si="4"/>
      </c>
      <c r="O12" s="11"/>
      <c r="P12" s="11"/>
      <c r="Q12" s="12"/>
      <c r="R12" s="12"/>
      <c r="S12" s="12"/>
      <c r="T12" s="104"/>
      <c r="V12" s="13">
        <f>IF(P12=IF(N12&gt;65,2,1),ROUNDDOWN('給与所得'!D10,0)*0.3,ROUNDDOWN('給与所得'!D10,0))</f>
        <v>0</v>
      </c>
      <c r="W12" s="13">
        <f>'公的年金所得'!N13</f>
        <v>0</v>
      </c>
      <c r="X12" s="13">
        <f t="shared" si="12"/>
        <v>0</v>
      </c>
      <c r="Y12" s="13">
        <f t="shared" si="13"/>
        <v>0</v>
      </c>
      <c r="Z12" s="13">
        <f t="shared" si="14"/>
        <v>0</v>
      </c>
      <c r="AA12" s="13">
        <f t="shared" si="15"/>
        <v>0</v>
      </c>
      <c r="AB12" s="13">
        <f t="shared" si="16"/>
        <v>0</v>
      </c>
      <c r="AC12" s="13">
        <f t="shared" si="17"/>
        <v>0</v>
      </c>
      <c r="AD12" s="13">
        <f t="shared" si="18"/>
        <v>0</v>
      </c>
      <c r="AE12" s="14">
        <f t="shared" si="5"/>
        <v>0</v>
      </c>
      <c r="AF12" s="3">
        <f t="shared" si="19"/>
        <v>0</v>
      </c>
      <c r="AG12" s="88">
        <f t="shared" si="20"/>
        <v>0</v>
      </c>
      <c r="AH12">
        <f t="shared" si="29"/>
        <v>0</v>
      </c>
      <c r="AJ12" s="3">
        <f t="shared" si="21"/>
        <v>0</v>
      </c>
      <c r="AK12" s="88">
        <f t="shared" si="22"/>
        <v>0</v>
      </c>
      <c r="AL12">
        <f t="shared" si="30"/>
        <v>0</v>
      </c>
      <c r="AN12" s="14">
        <f t="shared" si="6"/>
        <v>0</v>
      </c>
      <c r="AO12" s="3">
        <f t="shared" si="23"/>
        <v>0</v>
      </c>
      <c r="AP12" s="3">
        <f t="shared" si="7"/>
        <v>0</v>
      </c>
      <c r="AQ12">
        <f t="shared" si="24"/>
        <v>0</v>
      </c>
      <c r="AS12" s="2">
        <f t="shared" si="25"/>
        <v>0</v>
      </c>
      <c r="AT12" s="2">
        <f t="shared" si="26"/>
        <v>0</v>
      </c>
      <c r="AU12" s="2">
        <f t="shared" si="27"/>
        <v>0</v>
      </c>
      <c r="AV12" s="2">
        <f t="shared" si="8"/>
        <v>0</v>
      </c>
    </row>
    <row r="13" spans="2:48" ht="13.5">
      <c r="B13" s="7">
        <v>10</v>
      </c>
      <c r="C13" s="32">
        <f t="shared" si="0"/>
        <v>0</v>
      </c>
      <c r="D13" s="32">
        <f t="shared" si="1"/>
        <v>0</v>
      </c>
      <c r="E13" s="32">
        <f t="shared" si="2"/>
        <v>0</v>
      </c>
      <c r="F13" s="32">
        <f t="shared" si="9"/>
        <v>0</v>
      </c>
      <c r="G13" s="32">
        <f t="shared" si="10"/>
        <v>0</v>
      </c>
      <c r="H13" s="32">
        <f t="shared" si="11"/>
        <v>1</v>
      </c>
      <c r="I13" s="57"/>
      <c r="J13" s="11"/>
      <c r="K13" s="9"/>
      <c r="L13" s="10">
        <f>IF(K13&gt;1,1,0)+IF(O13="",0,2)</f>
        <v>0</v>
      </c>
      <c r="M13" s="18">
        <f t="shared" si="28"/>
        <v>45658</v>
      </c>
      <c r="N13" s="10">
        <f>IF(L13=3,"ｴﾗｰ",IF(L13=2,O13,IF(L13=1,IF(M13&lt;K13,0,DATEDIF(K13,M13,"Y")),"")))</f>
      </c>
      <c r="O13" s="11"/>
      <c r="P13" s="11"/>
      <c r="Q13" s="12"/>
      <c r="R13" s="12"/>
      <c r="S13" s="12"/>
      <c r="T13" s="104"/>
      <c r="V13" s="13">
        <f>IF(P13=IF(N13&gt;65,2,1),ROUNDDOWN('給与所得'!D11,0)*0.3,ROUNDDOWN('給与所得'!D11,0))</f>
        <v>0</v>
      </c>
      <c r="W13" s="13">
        <f>'公的年金所得'!N14</f>
        <v>0</v>
      </c>
      <c r="X13" s="13">
        <f t="shared" si="12"/>
        <v>0</v>
      </c>
      <c r="Y13" s="13">
        <f t="shared" si="13"/>
        <v>0</v>
      </c>
      <c r="Z13" s="13">
        <f t="shared" si="14"/>
        <v>0</v>
      </c>
      <c r="AA13" s="13">
        <f t="shared" si="15"/>
        <v>0</v>
      </c>
      <c r="AB13" s="13">
        <f t="shared" si="16"/>
        <v>0</v>
      </c>
      <c r="AC13" s="13">
        <f t="shared" si="17"/>
        <v>0</v>
      </c>
      <c r="AD13" s="13">
        <f t="shared" si="18"/>
        <v>0</v>
      </c>
      <c r="AE13" s="14">
        <f t="shared" si="5"/>
        <v>0</v>
      </c>
      <c r="AF13" s="3">
        <f t="shared" si="19"/>
        <v>0</v>
      </c>
      <c r="AG13" s="88">
        <f t="shared" si="20"/>
        <v>0</v>
      </c>
      <c r="AH13">
        <f t="shared" si="29"/>
        <v>0</v>
      </c>
      <c r="AJ13" s="3">
        <f t="shared" si="21"/>
        <v>0</v>
      </c>
      <c r="AK13" s="88">
        <f t="shared" si="22"/>
        <v>0</v>
      </c>
      <c r="AL13">
        <f t="shared" si="30"/>
        <v>0</v>
      </c>
      <c r="AN13" s="14">
        <f t="shared" si="6"/>
        <v>0</v>
      </c>
      <c r="AO13" s="3">
        <f t="shared" si="23"/>
        <v>0</v>
      </c>
      <c r="AP13" s="3">
        <f t="shared" si="7"/>
        <v>0</v>
      </c>
      <c r="AQ13">
        <f t="shared" si="24"/>
        <v>0</v>
      </c>
      <c r="AS13" s="2">
        <f t="shared" si="25"/>
        <v>0</v>
      </c>
      <c r="AT13" s="2">
        <f t="shared" si="26"/>
        <v>0</v>
      </c>
      <c r="AU13" s="2">
        <f t="shared" si="27"/>
        <v>0</v>
      </c>
      <c r="AV13" s="2">
        <f t="shared" si="8"/>
        <v>0</v>
      </c>
    </row>
    <row r="14" spans="3:49" ht="13.5">
      <c r="C14" s="34">
        <f>IF(SUM(G4:G13)=0,0,1)</f>
        <v>0</v>
      </c>
      <c r="D14" s="34"/>
      <c r="E14" s="34">
        <f>IF(SUM(E4:E13)=1,1,0)</f>
        <v>1</v>
      </c>
      <c r="F14" s="34"/>
      <c r="G14" s="34">
        <f>IF(C14+E14=2,0.5,1)</f>
        <v>1</v>
      </c>
      <c r="H14" s="34"/>
      <c r="I14"/>
      <c r="J14" s="35"/>
      <c r="K14" s="36"/>
      <c r="L14" s="35"/>
      <c r="M14" s="37"/>
      <c r="N14" s="38"/>
      <c r="V14">
        <f>COUNTIF(V4:V13,"&gt;1")</f>
        <v>0</v>
      </c>
      <c r="AE14" s="5" t="s">
        <v>14</v>
      </c>
      <c r="AF14" s="2">
        <f>ROUNDDOWN(SUM(AF4:AF13),0)</f>
        <v>0</v>
      </c>
      <c r="AG14" s="2"/>
      <c r="AH14" s="2">
        <f aca="true" t="shared" si="31" ref="AH14:AM14">SUM(AH4:AH13)</f>
        <v>0</v>
      </c>
      <c r="AI14" s="2">
        <f t="shared" si="31"/>
        <v>0</v>
      </c>
      <c r="AJ14" s="2">
        <f>ROUNDDOWN(SUM(AJ4:AJ13),0)</f>
        <v>0</v>
      </c>
      <c r="AK14" s="2">
        <f>ROUNDDOWN(SUM(AK4:AK13),0)</f>
        <v>0</v>
      </c>
      <c r="AL14" s="2">
        <f t="shared" si="31"/>
        <v>0</v>
      </c>
      <c r="AM14" s="2">
        <f t="shared" si="31"/>
        <v>0</v>
      </c>
      <c r="AN14">
        <f>IF(AND(N14&gt;=40,N14&lt;65)=TRUE,1,"")</f>
      </c>
      <c r="AO14" s="2">
        <f>ROUNDDOWN(SUM(AO4:AO13),0)</f>
        <v>0</v>
      </c>
      <c r="AP14" s="2">
        <f>ROUNDDOWN(SUM(AP4:AP13),0)</f>
        <v>0</v>
      </c>
      <c r="AQ14" s="2">
        <f>SUM(AQ4:AQ13)</f>
        <v>0</v>
      </c>
      <c r="AR14" s="2">
        <f>SUM(AR4:AR13)</f>
        <v>0</v>
      </c>
      <c r="AV14" s="2">
        <f>SUM(AV4:AV13)</f>
        <v>0</v>
      </c>
      <c r="AW14">
        <f>SUM(AW4:AW13)</f>
        <v>0</v>
      </c>
    </row>
    <row r="15" spans="3:49" ht="13.5">
      <c r="C15" s="39"/>
      <c r="D15" s="39"/>
      <c r="E15" s="39"/>
      <c r="F15" s="39"/>
      <c r="G15" s="39"/>
      <c r="H15" s="39"/>
      <c r="I15"/>
      <c r="J15" s="20"/>
      <c r="K15" s="40"/>
      <c r="L15" s="20"/>
      <c r="M15" s="41"/>
      <c r="N15" s="41"/>
      <c r="O15" t="str">
        <f>I1&amp;J1&amp;"年度の国民健康保険税は下記のとおりとなります。"</f>
        <v>令和6年度の国民健康保険税は下記のとおりとなります。</v>
      </c>
      <c r="AE15" s="5" t="s">
        <v>43</v>
      </c>
      <c r="AF15">
        <v>1</v>
      </c>
      <c r="AG15" s="1">
        <v>1</v>
      </c>
      <c r="AH15" s="1">
        <f>IF(B2="軽減なし",1,'軽減'!L19)</f>
        <v>0.3</v>
      </c>
      <c r="AI15" s="1">
        <f>AH15</f>
        <v>0.3</v>
      </c>
      <c r="AJ15" s="1">
        <f>AF15</f>
        <v>1</v>
      </c>
      <c r="AK15" s="1">
        <f>AG15</f>
        <v>1</v>
      </c>
      <c r="AL15" s="1">
        <f>AH15</f>
        <v>0.3</v>
      </c>
      <c r="AM15" s="1">
        <f>AI15</f>
        <v>0.3</v>
      </c>
      <c r="AN15" s="1"/>
      <c r="AO15" s="1">
        <f>AF15</f>
        <v>1</v>
      </c>
      <c r="AP15" s="1">
        <f>AG15</f>
        <v>1</v>
      </c>
      <c r="AQ15" s="1">
        <f>AH15</f>
        <v>0.3</v>
      </c>
      <c r="AR15" s="1">
        <f>AI15</f>
        <v>0.3</v>
      </c>
      <c r="AS15" s="1"/>
      <c r="AT15" s="1"/>
      <c r="AU15" s="1"/>
      <c r="AV15" s="1"/>
      <c r="AW15" s="1"/>
    </row>
    <row r="16" spans="2:39" ht="13.5">
      <c r="B16" s="6" t="s">
        <v>17</v>
      </c>
      <c r="C16" s="32"/>
      <c r="D16" s="32"/>
      <c r="E16" s="32"/>
      <c r="F16" s="32"/>
      <c r="G16" s="32"/>
      <c r="H16" s="32"/>
      <c r="I16" s="6"/>
      <c r="J16" s="6">
        <f>IF(J4="","",J4)</f>
      </c>
      <c r="K16" s="13">
        <f>M16</f>
        <v>0</v>
      </c>
      <c r="L16">
        <f aca="true" t="shared" si="32" ref="L16:L25">ROUNDDOWN(AV4*$AH$15,-2)</f>
        <v>0</v>
      </c>
      <c r="M16" s="1">
        <f aca="true" t="shared" si="33" ref="M16:M25">IF($Q$16=0,0,ROUND(($Q$16-$M$26)*(L16/$L$27),0))</f>
        <v>0</v>
      </c>
      <c r="N16" s="1"/>
      <c r="P16" s="60" t="s">
        <v>91</v>
      </c>
      <c r="Q16" s="60">
        <f>SUM(AF27:AH27)</f>
        <v>0</v>
      </c>
      <c r="R16" t="s">
        <v>74</v>
      </c>
      <c r="AE16" s="5" t="s">
        <v>44</v>
      </c>
      <c r="AI16">
        <v>1</v>
      </c>
      <c r="AM16">
        <v>1</v>
      </c>
    </row>
    <row r="17" spans="2:49" ht="13.5">
      <c r="B17" s="7">
        <v>2</v>
      </c>
      <c r="C17" s="32"/>
      <c r="D17" s="32"/>
      <c r="E17" s="32"/>
      <c r="F17" s="32"/>
      <c r="G17" s="32"/>
      <c r="H17" s="32"/>
      <c r="I17" s="6"/>
      <c r="J17" s="6">
        <f aca="true" t="shared" si="34" ref="J17:J25">IF(J5="","",J5)</f>
      </c>
      <c r="K17" s="13">
        <f aca="true" t="shared" si="35" ref="K17:K25">M17</f>
        <v>0</v>
      </c>
      <c r="L17">
        <f t="shared" si="32"/>
        <v>0</v>
      </c>
      <c r="M17" s="1">
        <f t="shared" si="33"/>
        <v>0</v>
      </c>
      <c r="N17" s="1"/>
      <c r="P17" s="5" t="s">
        <v>92</v>
      </c>
      <c r="Q17" s="60">
        <f>ROUNDUP(Q16/12,-2)</f>
        <v>0</v>
      </c>
      <c r="R17" t="s">
        <v>49</v>
      </c>
      <c r="AF17" s="2">
        <f>AF14*AF15</f>
        <v>0</v>
      </c>
      <c r="AG17" s="2">
        <f>AG14*AG15</f>
        <v>0</v>
      </c>
      <c r="AH17" s="2">
        <f>AH14*AH15</f>
        <v>0</v>
      </c>
      <c r="AI17" s="2">
        <f>AI14*AI15*AI16</f>
        <v>0</v>
      </c>
      <c r="AJ17" s="2">
        <f>AJ14*AJ15</f>
        <v>0</v>
      </c>
      <c r="AK17" s="2">
        <f>AK14*AK15</f>
        <v>0</v>
      </c>
      <c r="AL17" s="2">
        <f>AL14*AL15</f>
        <v>0</v>
      </c>
      <c r="AM17" s="2">
        <f>AM14*AM15*AM16</f>
        <v>0</v>
      </c>
      <c r="AN17" s="2"/>
      <c r="AO17" s="2">
        <f>AO14*AO15</f>
        <v>0</v>
      </c>
      <c r="AP17" s="2">
        <f>AP14*AP15</f>
        <v>0</v>
      </c>
      <c r="AQ17" s="2">
        <f>AQ14*AQ15</f>
        <v>0</v>
      </c>
      <c r="AR17" s="2">
        <f>AR14*AR15</f>
        <v>0</v>
      </c>
      <c r="AS17" s="2"/>
      <c r="AT17" s="2"/>
      <c r="AU17" s="2"/>
      <c r="AV17" s="2"/>
      <c r="AW17" s="2">
        <f>SUM(AV14:AW14)</f>
        <v>0</v>
      </c>
    </row>
    <row r="18" spans="2:44" ht="13.5">
      <c r="B18" s="7">
        <v>3</v>
      </c>
      <c r="C18" s="32"/>
      <c r="D18" s="32"/>
      <c r="E18" s="32"/>
      <c r="F18" s="32"/>
      <c r="G18" s="32"/>
      <c r="H18" s="32"/>
      <c r="I18" s="6"/>
      <c r="J18" s="6">
        <f t="shared" si="34"/>
      </c>
      <c r="K18" s="13">
        <f t="shared" si="35"/>
        <v>0</v>
      </c>
      <c r="L18">
        <f t="shared" si="32"/>
        <v>0</v>
      </c>
      <c r="M18" s="1">
        <f t="shared" si="33"/>
        <v>0</v>
      </c>
      <c r="N18" s="1"/>
      <c r="AF18" s="2"/>
      <c r="AG18" s="2"/>
      <c r="AH18" s="2"/>
      <c r="AI18" s="2"/>
      <c r="AJ18" s="2"/>
      <c r="AK18" s="2"/>
      <c r="AL18" s="2"/>
      <c r="AM18" s="2"/>
      <c r="AO18" s="2"/>
      <c r="AP18" s="2"/>
      <c r="AQ18" s="2"/>
      <c r="AR18" s="2"/>
    </row>
    <row r="19" spans="2:44" ht="13.5">
      <c r="B19" s="7">
        <v>4</v>
      </c>
      <c r="C19" s="32"/>
      <c r="D19" s="32"/>
      <c r="E19" s="32"/>
      <c r="F19" s="32"/>
      <c r="G19" s="32"/>
      <c r="H19" s="32"/>
      <c r="I19" s="6"/>
      <c r="J19" s="6">
        <f t="shared" si="34"/>
      </c>
      <c r="K19" s="13">
        <f t="shared" si="35"/>
        <v>0</v>
      </c>
      <c r="L19">
        <f t="shared" si="32"/>
        <v>0</v>
      </c>
      <c r="M19" s="1">
        <f t="shared" si="33"/>
        <v>0</v>
      </c>
      <c r="N19" s="1"/>
      <c r="AF19" s="2"/>
      <c r="AG19" s="2"/>
      <c r="AH19" s="2"/>
      <c r="AI19" s="2"/>
      <c r="AJ19" s="2"/>
      <c r="AK19" s="2"/>
      <c r="AL19" s="2"/>
      <c r="AM19" s="2"/>
      <c r="AO19" s="2"/>
      <c r="AP19" s="2"/>
      <c r="AQ19" s="2"/>
      <c r="AR19" s="2"/>
    </row>
    <row r="20" spans="2:44" ht="13.5">
      <c r="B20" s="7">
        <v>5</v>
      </c>
      <c r="C20" s="32"/>
      <c r="D20" s="32"/>
      <c r="E20" s="32"/>
      <c r="F20" s="32"/>
      <c r="G20" s="32"/>
      <c r="H20" s="32"/>
      <c r="I20" s="6"/>
      <c r="J20" s="6">
        <f t="shared" si="34"/>
      </c>
      <c r="K20" s="13">
        <f t="shared" si="35"/>
        <v>0</v>
      </c>
      <c r="L20">
        <f t="shared" si="32"/>
        <v>0</v>
      </c>
      <c r="M20" s="1">
        <f t="shared" si="33"/>
        <v>0</v>
      </c>
      <c r="N20" s="1"/>
      <c r="AF20" s="76"/>
      <c r="AG20" s="2" t="s">
        <v>64</v>
      </c>
      <c r="AH20" s="2"/>
      <c r="AI20" s="2"/>
      <c r="AJ20" s="2"/>
      <c r="AK20" s="2"/>
      <c r="AL20" s="2"/>
      <c r="AM20" s="2"/>
      <c r="AO20" s="2"/>
      <c r="AP20" s="2"/>
      <c r="AQ20" s="2"/>
      <c r="AR20" s="2"/>
    </row>
    <row r="21" spans="2:44" ht="13.5">
      <c r="B21" s="7">
        <v>6</v>
      </c>
      <c r="C21" s="32"/>
      <c r="D21" s="32"/>
      <c r="E21" s="32"/>
      <c r="F21" s="32"/>
      <c r="G21" s="32"/>
      <c r="H21" s="32"/>
      <c r="I21" s="6"/>
      <c r="J21" s="6">
        <f t="shared" si="34"/>
      </c>
      <c r="K21" s="13">
        <f t="shared" si="35"/>
        <v>0</v>
      </c>
      <c r="L21">
        <f t="shared" si="32"/>
        <v>0</v>
      </c>
      <c r="M21" s="1">
        <f t="shared" si="33"/>
        <v>0</v>
      </c>
      <c r="N21" s="1"/>
      <c r="AF21" s="2"/>
      <c r="AG21" s="2"/>
      <c r="AH21" s="2"/>
      <c r="AI21" s="2"/>
      <c r="AJ21" s="2"/>
      <c r="AK21" s="2"/>
      <c r="AL21" s="2"/>
      <c r="AM21" s="2"/>
      <c r="AO21" s="2"/>
      <c r="AP21" s="2"/>
      <c r="AQ21" s="2"/>
      <c r="AR21" s="2"/>
    </row>
    <row r="22" spans="2:44" ht="13.5">
      <c r="B22" s="7">
        <v>7</v>
      </c>
      <c r="C22" s="32"/>
      <c r="D22" s="32"/>
      <c r="E22" s="32"/>
      <c r="F22" s="32"/>
      <c r="G22" s="32"/>
      <c r="H22" s="32"/>
      <c r="I22" s="6"/>
      <c r="J22" s="6">
        <f t="shared" si="34"/>
      </c>
      <c r="K22" s="13">
        <f t="shared" si="35"/>
        <v>0</v>
      </c>
      <c r="L22">
        <f t="shared" si="32"/>
        <v>0</v>
      </c>
      <c r="M22" s="1">
        <f t="shared" si="33"/>
        <v>0</v>
      </c>
      <c r="N22" s="1"/>
      <c r="AF22" s="2"/>
      <c r="AG22" s="2"/>
      <c r="AH22" s="2"/>
      <c r="AI22" s="2"/>
      <c r="AJ22" s="2"/>
      <c r="AK22" s="2"/>
      <c r="AL22" s="2"/>
      <c r="AM22" s="2"/>
      <c r="AO22" s="2"/>
      <c r="AP22" s="2"/>
      <c r="AQ22" s="2"/>
      <c r="AR22" s="2"/>
    </row>
    <row r="23" spans="2:44" ht="13.5">
      <c r="B23" s="7">
        <v>8</v>
      </c>
      <c r="C23" s="32"/>
      <c r="D23" s="32"/>
      <c r="E23" s="32"/>
      <c r="F23" s="32"/>
      <c r="G23" s="32"/>
      <c r="H23" s="32"/>
      <c r="I23" s="6"/>
      <c r="J23" s="6">
        <f t="shared" si="34"/>
      </c>
      <c r="K23" s="13">
        <f t="shared" si="35"/>
        <v>0</v>
      </c>
      <c r="L23">
        <f t="shared" si="32"/>
        <v>0</v>
      </c>
      <c r="M23" s="1">
        <f t="shared" si="33"/>
        <v>0</v>
      </c>
      <c r="N23" s="1"/>
      <c r="AF23" s="2"/>
      <c r="AG23" s="2"/>
      <c r="AH23" s="2"/>
      <c r="AI23" s="2"/>
      <c r="AJ23" s="2"/>
      <c r="AK23" s="2"/>
      <c r="AL23" s="2"/>
      <c r="AM23" s="2"/>
      <c r="AO23" s="2"/>
      <c r="AP23" s="2"/>
      <c r="AQ23" s="2"/>
      <c r="AR23" s="2"/>
    </row>
    <row r="24" spans="2:44" ht="13.5">
      <c r="B24" s="7">
        <v>9</v>
      </c>
      <c r="C24" s="32"/>
      <c r="D24" s="32"/>
      <c r="E24" s="32"/>
      <c r="F24" s="32"/>
      <c r="G24" s="32"/>
      <c r="H24" s="32"/>
      <c r="I24" s="6"/>
      <c r="J24" s="6">
        <f t="shared" si="34"/>
      </c>
      <c r="K24" s="13">
        <f t="shared" si="35"/>
        <v>0</v>
      </c>
      <c r="L24">
        <f t="shared" si="32"/>
        <v>0</v>
      </c>
      <c r="M24" s="1">
        <f t="shared" si="33"/>
        <v>0</v>
      </c>
      <c r="N24" s="1"/>
      <c r="AF24" t="s">
        <v>6</v>
      </c>
      <c r="AG24" t="s">
        <v>7</v>
      </c>
      <c r="AH24" t="s">
        <v>8</v>
      </c>
      <c r="AI24" s="2"/>
      <c r="AJ24" s="2"/>
      <c r="AK24" s="2"/>
      <c r="AL24" s="2"/>
      <c r="AM24" s="2"/>
      <c r="AO24" s="2"/>
      <c r="AP24" s="2"/>
      <c r="AQ24" s="2"/>
      <c r="AR24" s="2"/>
    </row>
    <row r="25" spans="2:44" ht="13.5">
      <c r="B25" s="7">
        <v>10</v>
      </c>
      <c r="C25" s="32"/>
      <c r="D25" s="32"/>
      <c r="E25" s="32"/>
      <c r="F25" s="32"/>
      <c r="G25" s="32"/>
      <c r="H25" s="32"/>
      <c r="I25" s="6"/>
      <c r="J25" s="6">
        <f t="shared" si="34"/>
      </c>
      <c r="K25" s="13">
        <f t="shared" si="35"/>
        <v>0</v>
      </c>
      <c r="L25">
        <f t="shared" si="32"/>
        <v>0</v>
      </c>
      <c r="M25" s="1">
        <f t="shared" si="33"/>
        <v>0</v>
      </c>
      <c r="N25" s="1"/>
      <c r="AE25" t="s">
        <v>13</v>
      </c>
      <c r="AF25" s="3">
        <f>ROUNDDOWN(SUM(AF17:AI17),-2)</f>
        <v>0</v>
      </c>
      <c r="AG25" s="3">
        <f>ROUNDDOWN(SUM(AJ17:AM17),-2)</f>
        <v>0</v>
      </c>
      <c r="AH25" s="3">
        <f>ROUNDDOWN(SUM(AO17:AR17),-2)</f>
        <v>0</v>
      </c>
      <c r="AI25" s="2"/>
      <c r="AJ25" s="2"/>
      <c r="AK25" s="2"/>
      <c r="AL25" s="2"/>
      <c r="AM25" s="2"/>
      <c r="AO25" s="2"/>
      <c r="AP25" s="2"/>
      <c r="AQ25" s="2"/>
      <c r="AR25" s="2"/>
    </row>
    <row r="26" spans="2:44" ht="13.5">
      <c r="B26" s="48" t="s">
        <v>12</v>
      </c>
      <c r="C26" s="49"/>
      <c r="D26" s="49"/>
      <c r="E26" s="49"/>
      <c r="F26" s="49"/>
      <c r="G26" s="49"/>
      <c r="H26" s="49"/>
      <c r="I26" s="50">
        <f>IF(M28=0,"","+端数")</f>
      </c>
      <c r="J26" s="72" t="s">
        <v>63</v>
      </c>
      <c r="K26" s="71">
        <f>M26+M28</f>
        <v>0</v>
      </c>
      <c r="L26" s="2"/>
      <c r="M26" s="21">
        <f>ROUNDDOWN(AW4*AH15*G14,-2)</f>
        <v>0</v>
      </c>
      <c r="N26" s="1"/>
      <c r="O26" s="53"/>
      <c r="AE26" t="s">
        <v>15</v>
      </c>
      <c r="AF26" s="75">
        <f>'課税の根拠'!D10</f>
        <v>650000</v>
      </c>
      <c r="AG26" s="75">
        <f>'課税の根拠'!E10</f>
        <v>240000</v>
      </c>
      <c r="AH26" s="75">
        <f>'課税の根拠'!F10</f>
        <v>170000</v>
      </c>
      <c r="AI26" s="2"/>
      <c r="AJ26" s="2"/>
      <c r="AK26" s="2"/>
      <c r="AL26" s="2"/>
      <c r="AM26" s="2"/>
      <c r="AO26" s="2"/>
      <c r="AP26" s="2"/>
      <c r="AQ26" s="2"/>
      <c r="AR26" s="2"/>
    </row>
    <row r="27" spans="2:35" ht="13.5">
      <c r="B27" s="51"/>
      <c r="C27" s="49"/>
      <c r="D27" s="49"/>
      <c r="E27" s="49"/>
      <c r="F27" s="49"/>
      <c r="G27" s="49"/>
      <c r="H27" s="49"/>
      <c r="I27" s="52" t="s">
        <v>45</v>
      </c>
      <c r="J27" s="50"/>
      <c r="K27" s="13">
        <f>SUM(K16:K26)</f>
        <v>0</v>
      </c>
      <c r="L27">
        <f>SUM(L16:L26)</f>
        <v>0</v>
      </c>
      <c r="M27" s="1">
        <f>SUM(M16:M26)</f>
        <v>0</v>
      </c>
      <c r="O27" s="54"/>
      <c r="AE27" t="s">
        <v>16</v>
      </c>
      <c r="AF27" s="3">
        <f>IF(AF25&gt;AF26,AF26,AF25)</f>
        <v>0</v>
      </c>
      <c r="AG27" s="3">
        <f>IF(AG25&gt;AG26,AG26,AG25)</f>
        <v>0</v>
      </c>
      <c r="AH27" s="3">
        <f>IF(AH25&gt;AH26,AH26,AH25)</f>
        <v>0</v>
      </c>
      <c r="AI27" s="2"/>
    </row>
    <row r="28" spans="9:13" ht="13.5">
      <c r="I28">
        <f>IF(K27=0,"",IF((1-AH15)*10=0,"",(1-AH15)*10))</f>
      </c>
      <c r="J28">
        <f>IF(I28="","","割軽減世帯")</f>
      </c>
      <c r="M28" s="2">
        <f>Q16-M27</f>
        <v>0</v>
      </c>
    </row>
    <row r="29" spans="9:13" ht="36" customHeight="1">
      <c r="I29"/>
      <c r="M29" s="2"/>
    </row>
    <row r="30" ht="13.5">
      <c r="J30">
        <f>IF(AI16=0.5,"特定世帯軽減","")</f>
      </c>
    </row>
    <row r="31" ht="13.5" hidden="1">
      <c r="A31" s="56"/>
    </row>
  </sheetData>
  <sheetProtection password="C765" sheet="1" selectLockedCells="1"/>
  <protectedRanges>
    <protectedRange password="C765" sqref="I4:T13" name="範囲1"/>
  </protectedRanges>
  <mergeCells count="2">
    <mergeCell ref="N3:O3"/>
    <mergeCell ref="X2:AB2"/>
  </mergeCells>
  <conditionalFormatting sqref="N4:N13">
    <cfRule type="cellIs" priority="1" dxfId="1" operator="equal" stopIfTrue="1">
      <formula>"ｴﾗｰ"</formula>
    </cfRule>
  </conditionalFormatting>
  <dataValidations count="12">
    <dataValidation type="date" operator="lessThanOrEqual" allowBlank="1" showInputMessage="1" showErrorMessage="1" promptTitle="生年月日を入力してください。" prompt="西暦の場合は&#10;yyyy/mm/dd&#10;和暦の場合(昭和＝S、平成＝H）は&#10;Syy.mm.dd&#10;の形式で入力してください。&#10;該当年の1月1日以降に生まれた方は、年齢の欄に「0」を入力してください。" error="今日以前の日を入力してください。" imeMode="off" sqref="K5:K13">
      <formula1>M$1</formula1>
    </dataValidation>
    <dataValidation allowBlank="1" showInputMessage="1" showErrorMessage="1" promptTitle="固定資産税の入力" prompt="4月に税務課から送付された「固定資産税納税通知書」の土地及び建物に係る税額を入力してください。" imeMode="off" sqref="T4:T13"/>
    <dataValidation allowBlank="1" showInputMessage="1" showErrorMessage="1" prompt="その他(給与収入、年金収入以外）の所得額を入力してください。&#10;又は、確定申告書の所得金額合計を入力してください。【給与年金欄は入力しないでください】" imeMode="off" sqref="S4:S13"/>
    <dataValidation allowBlank="1" showInputMessage="1" showErrorMessage="1" prompt="公的年金の収入額を入力してください。&#10;『公的年金の源泉徴収表の収入額又は、確定申告書の収入金額等 雑 公的年金等の額を入力してください。』&#10;【私的年金、生命保険年金は公的年金ではなりません。】" imeMode="off" sqref="R4:R13"/>
    <dataValidation type="whole" operator="greaterThanOrEqual" allowBlank="1" showInputMessage="1" showErrorMessage="1" prompt="75歳以上は後期高齢者医療です。" error="75歳以上は後期高齢者医療制度です。" imeMode="off" sqref="O4">
      <formula1>0</formula1>
    </dataValidation>
    <dataValidation type="list" operator="greaterThanOrEqual" allowBlank="1" showInputMessage="1" showErrorMessage="1" promptTitle="非自発的失業者に係る軽減制度" prompt="雇用保険受給資格者証の離職理由コードが&#10;11、12、21、22、23、31、32、33、34の方&#10;（ただし、特例受給資格者、高年齢受給資格者は対象になりません。）&#10;は「１」を入力してください。" error="75歳以上は後期高齢者医療制度です。" imeMode="off" sqref="P4:P13">
      <formula1>"1"</formula1>
    </dataValidation>
    <dataValidation allowBlank="1" showInputMessage="1" showErrorMessage="1" prompt="給与収入額を入力してください。&#10;『源泉徴収表の「支払金額」又は、確定申告書の収入金額等給与(ア)の金額を入力してください。』" imeMode="off" sqref="Q4:Q13"/>
    <dataValidation type="list" allowBlank="1" showInputMessage="1" showErrorMessage="1" promptTitle="種別" prompt="健康保険の種別を選択してください。&#10;　国保：国民健康保険&#10;　社保：社会保険又は他国保&#10;　後期：後期高齢者医療（長寿医療）" sqref="I4:I13">
      <formula1>"国保,社保,後期"</formula1>
    </dataValidation>
    <dataValidation allowBlank="1" showInputMessage="1" showErrorMessage="1" promptTitle="任意" prompt="世帯員の氏名を入力してください。&#10;（入力は任意です）" imeMode="on" sqref="J4:J13"/>
    <dataValidation type="list" allowBlank="1" showInputMessage="1" showErrorMessage="1" sqref="B2">
      <formula1>"軽減なし"</formula1>
    </dataValidation>
    <dataValidation type="date" operator="lessThanOrEqual" allowBlank="1" showInputMessage="1" showErrorMessage="1" promptTitle="生年月日を入力してください。" prompt="西暦の場合は&#10;yyyy/mm/dd&#10;和暦の場合(昭和＝S、平成＝H）は&#10;Syy.mm.dd&#10;の形式で入力してください。&#10;該当年の1月1日以降に生まれた方は、年齢の欄に「0」を入力してください。&#10;(現在「ｒ（令和）」は未対応ですので、「年齢（1/1）」の２列のうちの右の列に直接本年1月1日現在の年齢をお入れください。）" error="今日以前の日を入力してください。" imeMode="off" sqref="K4">
      <formula1>M$1</formula1>
    </dataValidation>
    <dataValidation type="whole" operator="greaterThanOrEqual" allowBlank="1" showInputMessage="1" showErrorMessage="1" prompt="小学校１年生で誕生日前の児童は７歳としてください。&#10;75歳以上は後期高齢者医療です。" error="75歳以上は後期高齢者医療制度です。" imeMode="off" sqref="O5:O13">
      <formula1>0</formula1>
    </dataValidation>
  </dataValidations>
  <printOptions horizontalCentered="1"/>
  <pageMargins left="0.5905511811023623" right="0.5905511811023623" top="0.3937007874015748" bottom="0.3937007874015748" header="0.5118110236220472" footer="0.5118110236220472"/>
  <pageSetup fitToHeight="0" horizontalDpi="600" verticalDpi="600" orientation="landscape" paperSize="9" scale="132" r:id="rId4"/>
  <headerFooter alignWithMargins="0">
    <oddFooter>&amp;L&amp;F&amp;A&amp;R&amp;D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5"/>
  <sheetViews>
    <sheetView showGridLines="0" showRowColHeaders="0" zoomScale="96" zoomScaleNormal="96" zoomScalePageLayoutView="0" workbookViewId="0" topLeftCell="A1">
      <selection activeCell="A2" sqref="A2:B2"/>
    </sheetView>
  </sheetViews>
  <sheetFormatPr defaultColWidth="0" defaultRowHeight="13.5" zeroHeight="1"/>
  <cols>
    <col min="1" max="1" width="5.125" style="61" customWidth="1"/>
    <col min="2" max="2" width="11.375" style="61" bestFit="1" customWidth="1"/>
    <col min="3" max="3" width="38.00390625" style="61" customWidth="1"/>
    <col min="4" max="6" width="10.00390625" style="61" bestFit="1" customWidth="1"/>
    <col min="7" max="7" width="9.00390625" style="61" customWidth="1"/>
    <col min="8" max="16384" width="0" style="61" hidden="1" customWidth="1"/>
  </cols>
  <sheetData>
    <row r="1" spans="1:7" ht="18.75">
      <c r="A1" s="70" t="str">
        <f>"清須市国民健康保険税課税について（令和"&amp;'国保税計算'!J1&amp;"年度）"</f>
        <v>清須市国民健康保険税課税について（令和6年度）</v>
      </c>
      <c r="B1" s="68"/>
      <c r="C1" s="68"/>
      <c r="D1" s="68"/>
      <c r="E1" s="68"/>
      <c r="F1" s="68"/>
      <c r="G1" s="68"/>
    </row>
    <row r="2" spans="1:2" ht="17.25">
      <c r="A2" s="121" t="s">
        <v>57</v>
      </c>
      <c r="B2" s="122"/>
    </row>
    <row r="3" spans="1:7" ht="34.5" customHeight="1">
      <c r="A3" s="120" t="s">
        <v>60</v>
      </c>
      <c r="B3" s="120"/>
      <c r="C3" s="120"/>
      <c r="D3" s="120"/>
      <c r="E3" s="120"/>
      <c r="F3" s="120"/>
      <c r="G3" s="120"/>
    </row>
    <row r="4" ht="17.25">
      <c r="A4" s="61" t="s">
        <v>56</v>
      </c>
    </row>
    <row r="5" spans="2:6" ht="17.25">
      <c r="B5" s="124"/>
      <c r="C5" s="125"/>
      <c r="D5" s="62" t="s">
        <v>6</v>
      </c>
      <c r="E5" s="62" t="s">
        <v>55</v>
      </c>
      <c r="F5" s="62" t="s">
        <v>8</v>
      </c>
    </row>
    <row r="6" spans="2:6" ht="34.5">
      <c r="B6" s="62" t="s">
        <v>50</v>
      </c>
      <c r="C6" s="63" t="s">
        <v>107</v>
      </c>
      <c r="D6" s="84">
        <v>0.0682</v>
      </c>
      <c r="E6" s="84">
        <v>0.0262</v>
      </c>
      <c r="F6" s="84">
        <v>0.0236</v>
      </c>
    </row>
    <row r="7" spans="2:6" ht="34.5" hidden="1">
      <c r="B7" s="62" t="s">
        <v>51</v>
      </c>
      <c r="C7" s="63" t="s">
        <v>54</v>
      </c>
      <c r="D7" s="84">
        <v>0</v>
      </c>
      <c r="E7" s="84">
        <v>0</v>
      </c>
      <c r="F7" s="84">
        <v>0</v>
      </c>
    </row>
    <row r="8" spans="2:6" ht="34.5" customHeight="1">
      <c r="B8" s="62" t="s">
        <v>52</v>
      </c>
      <c r="C8" s="63" t="s">
        <v>66</v>
      </c>
      <c r="D8" s="64">
        <v>28500</v>
      </c>
      <c r="E8" s="64">
        <v>10800</v>
      </c>
      <c r="F8" s="64">
        <v>12200</v>
      </c>
    </row>
    <row r="9" spans="2:6" ht="34.5" customHeight="1">
      <c r="B9" s="62" t="s">
        <v>53</v>
      </c>
      <c r="C9" s="63" t="s">
        <v>65</v>
      </c>
      <c r="D9" s="64">
        <v>19800</v>
      </c>
      <c r="E9" s="64">
        <v>7600</v>
      </c>
      <c r="F9" s="64">
        <v>6000</v>
      </c>
    </row>
    <row r="10" spans="2:6" ht="34.5" customHeight="1">
      <c r="B10" s="62" t="s">
        <v>67</v>
      </c>
      <c r="C10" s="63" t="s">
        <v>65</v>
      </c>
      <c r="D10" s="64">
        <v>650000</v>
      </c>
      <c r="E10" s="64">
        <v>240000</v>
      </c>
      <c r="F10" s="64">
        <v>170000</v>
      </c>
    </row>
    <row r="11" spans="1:7" ht="17.25">
      <c r="A11" s="69" t="s">
        <v>58</v>
      </c>
      <c r="B11" s="69"/>
      <c r="C11" s="69"/>
      <c r="D11" s="69"/>
      <c r="E11" s="69"/>
      <c r="F11" s="69"/>
      <c r="G11" s="69"/>
    </row>
    <row r="12" spans="1:7" ht="38.25" customHeight="1">
      <c r="A12" s="119" t="s">
        <v>59</v>
      </c>
      <c r="B12" s="119"/>
      <c r="C12" s="119"/>
      <c r="D12" s="119"/>
      <c r="E12" s="119"/>
      <c r="F12" s="119"/>
      <c r="G12" s="119"/>
    </row>
    <row r="13" spans="1:7" ht="14.25" customHeight="1">
      <c r="A13" s="66" t="s">
        <v>61</v>
      </c>
      <c r="B13" s="65"/>
      <c r="C13" s="65"/>
      <c r="D13" s="65"/>
      <c r="E13" s="65"/>
      <c r="F13" s="65"/>
      <c r="G13" s="65"/>
    </row>
    <row r="14" spans="1:7" ht="17.25">
      <c r="A14" s="67" t="s">
        <v>97</v>
      </c>
      <c r="C14" s="65"/>
      <c r="D14" s="65"/>
      <c r="E14" s="65"/>
      <c r="F14" s="65"/>
      <c r="G14" s="65"/>
    </row>
    <row r="15" spans="1:7" ht="30.75" customHeight="1">
      <c r="A15" s="123" t="s">
        <v>62</v>
      </c>
      <c r="B15" s="123"/>
      <c r="C15" s="123"/>
      <c r="D15" s="123"/>
      <c r="E15" s="123"/>
      <c r="F15" s="123"/>
      <c r="G15" s="123"/>
    </row>
    <row r="16" ht="17.25"/>
  </sheetData>
  <sheetProtection password="C765" sheet="1" selectLockedCells="1"/>
  <mergeCells count="5">
    <mergeCell ref="A12:G12"/>
    <mergeCell ref="A3:G3"/>
    <mergeCell ref="A2:B2"/>
    <mergeCell ref="A15:G15"/>
    <mergeCell ref="B5:C5"/>
  </mergeCells>
  <printOptions/>
  <pageMargins left="0.7874015748031497" right="0.7874015748031497" top="0.3937007874015748" bottom="0.3937007874015748" header="0.5118110236220472" footer="0.5118110236220472"/>
  <pageSetup horizontalDpi="600" verticalDpi="600" orientation="landscape" paperSize="9" scale="140" r:id="rId1"/>
  <headerFooter alignWithMargins="0">
    <oddFooter>&amp;R&amp;F</oddFooter>
  </headerFooter>
</worksheet>
</file>

<file path=xl/worksheets/sheet4.xml><?xml version="1.0" encoding="utf-8"?>
<worksheet xmlns="http://schemas.openxmlformats.org/spreadsheetml/2006/main" xmlns:r="http://schemas.openxmlformats.org/officeDocument/2006/relationships">
  <sheetPr>
    <tabColor theme="1"/>
  </sheetPr>
  <dimension ref="A1:Q22"/>
  <sheetViews>
    <sheetView showGridLines="0" showRowColHeaders="0" zoomScalePageLayoutView="0" workbookViewId="0" topLeftCell="N1">
      <selection activeCell="N1" sqref="N1"/>
    </sheetView>
  </sheetViews>
  <sheetFormatPr defaultColWidth="9.00390625" defaultRowHeight="13.5"/>
  <cols>
    <col min="1" max="1" width="7.125" style="20" hidden="1" customWidth="1"/>
    <col min="2" max="2" width="12.125" style="20" hidden="1" customWidth="1"/>
    <col min="3" max="3" width="4.50390625" style="20" hidden="1" customWidth="1"/>
    <col min="4" max="5" width="10.25390625" style="20" hidden="1" customWidth="1"/>
    <col min="6" max="6" width="9.25390625" style="20" hidden="1" customWidth="1"/>
    <col min="7" max="7" width="9.00390625" style="20" hidden="1" customWidth="1"/>
    <col min="8" max="8" width="2.50390625" style="20" hidden="1" customWidth="1"/>
    <col min="9" max="9" width="11.25390625" style="20" hidden="1" customWidth="1"/>
    <col min="10" max="10" width="7.00390625" style="20" hidden="1" customWidth="1"/>
    <col min="11" max="12" width="9.00390625" style="20" hidden="1" customWidth="1"/>
    <col min="13" max="13" width="12.75390625" style="20" hidden="1" customWidth="1"/>
    <col min="14" max="16384" width="9.00390625" style="20" customWidth="1"/>
  </cols>
  <sheetData>
    <row r="1" spans="1:13" ht="13.5">
      <c r="A1" s="85"/>
      <c r="B1" s="85"/>
      <c r="C1" s="85"/>
      <c r="D1" s="85"/>
      <c r="E1" s="85"/>
      <c r="F1" s="85"/>
      <c r="G1" s="85"/>
      <c r="H1" s="85"/>
      <c r="I1" s="85"/>
      <c r="J1" s="85"/>
      <c r="K1" s="85"/>
      <c r="L1" s="85"/>
      <c r="M1" s="85"/>
    </row>
    <row r="3" spans="1:9" ht="13.5">
      <c r="A3" s="43"/>
      <c r="B3" s="20" t="s">
        <v>36</v>
      </c>
      <c r="C3" s="20" t="s">
        <v>110</v>
      </c>
      <c r="D3" s="20" t="s">
        <v>37</v>
      </c>
      <c r="E3" s="20" t="s">
        <v>88</v>
      </c>
      <c r="F3" s="42" t="s">
        <v>89</v>
      </c>
      <c r="G3" s="42" t="s">
        <v>90</v>
      </c>
      <c r="I3" s="42" t="s">
        <v>111</v>
      </c>
    </row>
    <row r="4" spans="1:9" ht="13.5">
      <c r="A4" s="20" t="s">
        <v>17</v>
      </c>
      <c r="B4" s="20">
        <f>'国保税計算'!N4</f>
      </c>
      <c r="C4" s="20">
        <f>'国保税計算'!AE4</f>
        <v>0</v>
      </c>
      <c r="D4" s="44">
        <f>IF(B4="",0,SUM(E4:G4))</f>
        <v>0</v>
      </c>
      <c r="E4" s="44">
        <f>'国保税計算'!V4</f>
        <v>0</v>
      </c>
      <c r="F4" s="44">
        <f>IF(B4&gt;=65,IF('国保税計算'!W4&gt;150000,'国保税計算'!W4-150000,0),'国保税計算'!W4)</f>
        <v>0</v>
      </c>
      <c r="G4" s="44">
        <f>'国保税計算'!S4</f>
        <v>0</v>
      </c>
      <c r="I4" s="105">
        <v>1</v>
      </c>
    </row>
    <row r="5" spans="1:9" ht="13.5">
      <c r="A5" s="43">
        <v>2</v>
      </c>
      <c r="B5" s="20">
        <f>'国保税計算'!N5</f>
      </c>
      <c r="C5" s="20">
        <f>'国保税計算'!AE5</f>
        <v>0</v>
      </c>
      <c r="D5" s="44">
        <f aca="true" t="shared" si="0" ref="D5:D13">IF(B5="",0,SUM(E5:G5))</f>
        <v>0</v>
      </c>
      <c r="E5" s="44">
        <f>'国保税計算'!V5</f>
        <v>0</v>
      </c>
      <c r="F5" s="44">
        <f>IF(B5&gt;=65,IF('国保税計算'!W5&gt;150000,'国保税計算'!W5-150000,0),'国保税計算'!W5)</f>
        <v>0</v>
      </c>
      <c r="G5" s="44">
        <f>'国保税計算'!S5</f>
        <v>0</v>
      </c>
      <c r="I5" s="20">
        <f aca="true" t="shared" si="1" ref="I5:I13">IF(E5&gt;0,1,0)*C5</f>
        <v>0</v>
      </c>
    </row>
    <row r="6" spans="1:17" ht="13.5">
      <c r="A6" s="43">
        <v>3</v>
      </c>
      <c r="B6" s="20">
        <f>'国保税計算'!N6</f>
      </c>
      <c r="C6" s="20">
        <f>'国保税計算'!AE6</f>
        <v>0</v>
      </c>
      <c r="D6" s="44">
        <f t="shared" si="0"/>
        <v>0</v>
      </c>
      <c r="E6" s="44">
        <f>'国保税計算'!V6</f>
        <v>0</v>
      </c>
      <c r="F6" s="44">
        <f>IF(B6&gt;=65,IF('国保税計算'!W6&gt;150000,'国保税計算'!W6-150000,0),'国保税計算'!W6)</f>
        <v>0</v>
      </c>
      <c r="G6" s="44">
        <f>'国保税計算'!S6</f>
        <v>0</v>
      </c>
      <c r="I6" s="20">
        <f t="shared" si="1"/>
        <v>0</v>
      </c>
      <c r="Q6" s="20" t="s">
        <v>93</v>
      </c>
    </row>
    <row r="7" spans="1:17" ht="13.5">
      <c r="A7" s="43">
        <v>4</v>
      </c>
      <c r="B7" s="20">
        <f>'国保税計算'!N7</f>
      </c>
      <c r="C7" s="20">
        <f>'国保税計算'!AE7</f>
        <v>0</v>
      </c>
      <c r="D7" s="44">
        <f t="shared" si="0"/>
        <v>0</v>
      </c>
      <c r="E7" s="44">
        <f>'国保税計算'!V7</f>
        <v>0</v>
      </c>
      <c r="F7" s="44">
        <f>IF(B7&gt;=65,IF('国保税計算'!W7&gt;150000,'国保税計算'!W7-150000,0),'国保税計算'!W7)</f>
        <v>0</v>
      </c>
      <c r="G7" s="44">
        <f>'国保税計算'!S7</f>
        <v>0</v>
      </c>
      <c r="I7" s="20">
        <f t="shared" si="1"/>
        <v>0</v>
      </c>
      <c r="Q7" s="20" t="s">
        <v>94</v>
      </c>
    </row>
    <row r="8" spans="1:17" ht="13.5">
      <c r="A8" s="43">
        <v>5</v>
      </c>
      <c r="B8" s="20">
        <f>'国保税計算'!N8</f>
      </c>
      <c r="C8" s="20">
        <f>'国保税計算'!AE8</f>
        <v>0</v>
      </c>
      <c r="D8" s="44">
        <f t="shared" si="0"/>
        <v>0</v>
      </c>
      <c r="E8" s="44">
        <f>'国保税計算'!V8</f>
        <v>0</v>
      </c>
      <c r="F8" s="44">
        <f>IF(B8&gt;=65,IF('国保税計算'!W8&gt;150000,'国保税計算'!W8-150000,0),'国保税計算'!W8)</f>
        <v>0</v>
      </c>
      <c r="G8" s="44">
        <f>'国保税計算'!S8</f>
        <v>0</v>
      </c>
      <c r="I8" s="20">
        <f t="shared" si="1"/>
        <v>0</v>
      </c>
      <c r="Q8" s="20" t="s">
        <v>95</v>
      </c>
    </row>
    <row r="9" spans="1:9" ht="13.5">
      <c r="A9" s="43">
        <v>6</v>
      </c>
      <c r="B9" s="20">
        <f>'国保税計算'!N9</f>
      </c>
      <c r="C9" s="20">
        <f>'国保税計算'!AE9</f>
        <v>0</v>
      </c>
      <c r="D9" s="44">
        <f t="shared" si="0"/>
        <v>0</v>
      </c>
      <c r="E9" s="44">
        <f>'国保税計算'!V9</f>
        <v>0</v>
      </c>
      <c r="F9" s="44">
        <f>IF(B9&gt;=65,IF('国保税計算'!W9&gt;150000,'国保税計算'!W9-150000,0),'国保税計算'!W9)</f>
        <v>0</v>
      </c>
      <c r="G9" s="44">
        <f>'国保税計算'!S9</f>
        <v>0</v>
      </c>
      <c r="I9" s="20">
        <f t="shared" si="1"/>
        <v>0</v>
      </c>
    </row>
    <row r="10" spans="1:9" ht="13.5">
      <c r="A10" s="43">
        <v>7</v>
      </c>
      <c r="B10" s="20">
        <f>'国保税計算'!N10</f>
      </c>
      <c r="C10" s="20">
        <f>'国保税計算'!AE10</f>
        <v>0</v>
      </c>
      <c r="D10" s="44">
        <f t="shared" si="0"/>
        <v>0</v>
      </c>
      <c r="E10" s="44">
        <f>'国保税計算'!V10</f>
        <v>0</v>
      </c>
      <c r="F10" s="44">
        <f>IF(B10&gt;=65,IF('国保税計算'!W10&gt;150000,'国保税計算'!W10-150000,0),'国保税計算'!W10)</f>
        <v>0</v>
      </c>
      <c r="G10" s="44">
        <f>'国保税計算'!S10</f>
        <v>0</v>
      </c>
      <c r="I10" s="20">
        <f t="shared" si="1"/>
        <v>0</v>
      </c>
    </row>
    <row r="11" spans="1:9" ht="13.5">
      <c r="A11" s="43">
        <v>8</v>
      </c>
      <c r="B11" s="20">
        <f>'国保税計算'!N11</f>
      </c>
      <c r="C11" s="20">
        <f>'国保税計算'!AE11</f>
        <v>0</v>
      </c>
      <c r="D11" s="44">
        <f t="shared" si="0"/>
        <v>0</v>
      </c>
      <c r="E11" s="44">
        <f>'国保税計算'!V11</f>
        <v>0</v>
      </c>
      <c r="F11" s="44">
        <f>IF(B11&gt;=65,IF('国保税計算'!W11&gt;150000,'国保税計算'!W11-150000,0),'国保税計算'!W11)</f>
        <v>0</v>
      </c>
      <c r="G11" s="44">
        <f>'国保税計算'!S11</f>
        <v>0</v>
      </c>
      <c r="I11" s="20">
        <f t="shared" si="1"/>
        <v>0</v>
      </c>
    </row>
    <row r="12" spans="1:9" ht="13.5">
      <c r="A12" s="43">
        <v>9</v>
      </c>
      <c r="B12" s="20">
        <f>'国保税計算'!N12</f>
      </c>
      <c r="C12" s="20">
        <f>'国保税計算'!AE12</f>
        <v>0</v>
      </c>
      <c r="D12" s="44">
        <f t="shared" si="0"/>
        <v>0</v>
      </c>
      <c r="E12" s="44">
        <f>'国保税計算'!V12</f>
        <v>0</v>
      </c>
      <c r="F12" s="44">
        <f>IF(B12&gt;=65,IF('国保税計算'!W12&gt;150000,'国保税計算'!W12-150000,0),'国保税計算'!W12)</f>
        <v>0</v>
      </c>
      <c r="G12" s="44">
        <f>'国保税計算'!S12</f>
        <v>0</v>
      </c>
      <c r="I12" s="20">
        <f t="shared" si="1"/>
        <v>0</v>
      </c>
    </row>
    <row r="13" spans="1:9" ht="13.5">
      <c r="A13" s="43">
        <v>10</v>
      </c>
      <c r="B13" s="20">
        <f>'国保税計算'!N13</f>
      </c>
      <c r="C13" s="20">
        <f>'国保税計算'!AE13</f>
        <v>0</v>
      </c>
      <c r="D13" s="44">
        <f t="shared" si="0"/>
        <v>0</v>
      </c>
      <c r="E13" s="44">
        <f>'国保税計算'!V13</f>
        <v>0</v>
      </c>
      <c r="F13" s="44">
        <f>IF(B13&gt;=65,IF('国保税計算'!W13&gt;150000,'国保税計算'!W13-150000,0),'国保税計算'!W13)</f>
        <v>0</v>
      </c>
      <c r="G13" s="44">
        <f>'国保税計算'!S13</f>
        <v>0</v>
      </c>
      <c r="I13" s="20">
        <f t="shared" si="1"/>
        <v>0</v>
      </c>
    </row>
    <row r="14" spans="1:6" ht="13.5">
      <c r="A14" s="43"/>
      <c r="D14" s="44"/>
      <c r="E14" s="44"/>
      <c r="F14" s="44"/>
    </row>
    <row r="15" spans="1:6" ht="13.5">
      <c r="A15" s="43"/>
      <c r="B15" s="20" t="s">
        <v>39</v>
      </c>
      <c r="D15" s="44" t="s">
        <v>109</v>
      </c>
      <c r="E15" s="44"/>
      <c r="F15" s="44"/>
    </row>
    <row r="16" spans="2:4" ht="13.5">
      <c r="B16" s="20">
        <f>COUNT(B4:B13)</f>
        <v>0</v>
      </c>
      <c r="C16" s="20" t="s">
        <v>40</v>
      </c>
      <c r="D16" s="20">
        <f>SUM(I4:I13)</f>
        <v>1</v>
      </c>
    </row>
    <row r="18" ht="13.5">
      <c r="M18" s="20" t="s">
        <v>38</v>
      </c>
    </row>
    <row r="19" spans="1:13" ht="13.5">
      <c r="A19" s="46">
        <v>1</v>
      </c>
      <c r="B19" s="20" t="s">
        <v>35</v>
      </c>
      <c r="C19" s="20">
        <v>0.8</v>
      </c>
      <c r="D19" s="44">
        <f>D20</f>
        <v>0</v>
      </c>
      <c r="E19" s="107">
        <f>'国保税計算'!$AD$2+(100000*($D$16-1))</f>
        <v>430000</v>
      </c>
      <c r="F19" s="107">
        <f>M19*B16</f>
        <v>0</v>
      </c>
      <c r="G19" s="4">
        <f>E19+(F19)</f>
        <v>430000</v>
      </c>
      <c r="H19" s="4">
        <f>IF(D19&lt;=G19,1,0)</f>
        <v>1</v>
      </c>
      <c r="I19" s="20" t="str">
        <f>IF(H19=1,"対象","対象外")</f>
        <v>対象</v>
      </c>
      <c r="J19" s="20">
        <f>H19*A19</f>
        <v>1</v>
      </c>
      <c r="K19" s="20">
        <f>MAX(J19:J21)</f>
        <v>3</v>
      </c>
      <c r="L19" s="20">
        <f>IF(SUM(J19:J21)=0,1,VLOOKUP(K19,A19:C21,3))</f>
        <v>0.3</v>
      </c>
      <c r="M19" s="106">
        <v>535000</v>
      </c>
    </row>
    <row r="20" spans="1:13" ht="13.5">
      <c r="A20" s="46">
        <v>2</v>
      </c>
      <c r="B20" s="20" t="s">
        <v>34</v>
      </c>
      <c r="C20" s="20">
        <v>0.5</v>
      </c>
      <c r="D20" s="44">
        <f>D21</f>
        <v>0</v>
      </c>
      <c r="E20" s="107">
        <f>'国保税計算'!$AD$2+(100000*($D$16-1))</f>
        <v>430000</v>
      </c>
      <c r="F20" s="107">
        <f>M20*B16</f>
        <v>0</v>
      </c>
      <c r="G20" s="4">
        <f>E20+(F20)</f>
        <v>430000</v>
      </c>
      <c r="H20" s="4">
        <f>IF(D20&lt;=G20,1,0)</f>
        <v>1</v>
      </c>
      <c r="I20" s="20" t="str">
        <f>IF(H20=1,"対象","対象外")</f>
        <v>対象</v>
      </c>
      <c r="J20" s="20">
        <f>H20*A20</f>
        <v>2</v>
      </c>
      <c r="M20" s="106">
        <v>290000</v>
      </c>
    </row>
    <row r="21" spans="1:10" ht="13.5">
      <c r="A21" s="46">
        <v>3</v>
      </c>
      <c r="B21" s="20" t="s">
        <v>33</v>
      </c>
      <c r="C21" s="20">
        <v>0.3</v>
      </c>
      <c r="D21" s="45">
        <f>SUM(D4:D13)</f>
        <v>0</v>
      </c>
      <c r="E21" s="107">
        <f>'国保税計算'!$AD$2+(100000*($D$16-1))</f>
        <v>430000</v>
      </c>
      <c r="F21" s="108"/>
      <c r="G21" s="21">
        <f>E21</f>
        <v>430000</v>
      </c>
      <c r="H21" s="4">
        <f>IF(D21&lt;=G21,1,0)</f>
        <v>1</v>
      </c>
      <c r="I21" s="20" t="str">
        <f>IF(H21=1,"対象","対象外")</f>
        <v>対象</v>
      </c>
      <c r="J21" s="20">
        <f>H21*A21</f>
        <v>3</v>
      </c>
    </row>
    <row r="22" ht="13.5">
      <c r="C22" s="42">
        <v>1</v>
      </c>
    </row>
  </sheetData>
  <sheetProtection password="C765" sheet="1" selectLockedCells="1"/>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R19"/>
  <sheetViews>
    <sheetView showGridLines="0" showRowColHeaders="0" zoomScalePageLayoutView="0" workbookViewId="0" topLeftCell="Q1">
      <selection activeCell="Q1" sqref="Q1"/>
    </sheetView>
  </sheetViews>
  <sheetFormatPr defaultColWidth="9.00390625" defaultRowHeight="13.5"/>
  <cols>
    <col min="1" max="1" width="12.75390625" style="20" hidden="1" customWidth="1"/>
    <col min="2" max="2" width="3.50390625" style="20" hidden="1" customWidth="1"/>
    <col min="3" max="3" width="11.75390625" style="20" hidden="1" customWidth="1"/>
    <col min="4" max="5" width="9.25390625" style="20" hidden="1" customWidth="1"/>
    <col min="6" max="6" width="10.25390625" style="20" hidden="1" customWidth="1"/>
    <col min="7" max="7" width="11.375" style="20" hidden="1" customWidth="1"/>
    <col min="8" max="8" width="3.50390625" style="20" hidden="1" customWidth="1"/>
    <col min="9" max="11" width="9.25390625" style="20" hidden="1" customWidth="1"/>
    <col min="12" max="12" width="10.25390625" style="20" hidden="1" customWidth="1"/>
    <col min="13" max="13" width="11.375" style="20" hidden="1" customWidth="1"/>
    <col min="14" max="14" width="9.00390625" style="21" hidden="1" customWidth="1"/>
    <col min="15" max="16" width="9.00390625" style="20" hidden="1" customWidth="1"/>
    <col min="17" max="16384" width="9.00390625" style="20" customWidth="1"/>
  </cols>
  <sheetData>
    <row r="1" spans="1:13" ht="13.5">
      <c r="A1" s="20" t="s">
        <v>99</v>
      </c>
      <c r="B1" s="126" t="s">
        <v>102</v>
      </c>
      <c r="C1" s="90">
        <v>1</v>
      </c>
      <c r="D1" s="90">
        <v>0.75</v>
      </c>
      <c r="E1" s="90">
        <v>0.85</v>
      </c>
      <c r="F1" s="91">
        <v>95</v>
      </c>
      <c r="G1" s="90">
        <v>0.95</v>
      </c>
      <c r="H1" s="126" t="s">
        <v>103</v>
      </c>
      <c r="I1" s="90">
        <v>1</v>
      </c>
      <c r="J1" s="90">
        <v>0.75</v>
      </c>
      <c r="K1" s="90">
        <v>0.85</v>
      </c>
      <c r="L1" s="91">
        <v>0.95</v>
      </c>
      <c r="M1" s="90">
        <v>0.95</v>
      </c>
    </row>
    <row r="2" spans="1:13" ht="13.5">
      <c r="A2" s="20" t="s">
        <v>100</v>
      </c>
      <c r="B2" s="126"/>
      <c r="C2" s="89">
        <v>1100000</v>
      </c>
      <c r="D2" s="89">
        <v>275000</v>
      </c>
      <c r="E2" s="89">
        <v>685000</v>
      </c>
      <c r="F2" s="89">
        <v>1455000</v>
      </c>
      <c r="G2" s="89">
        <v>1955000</v>
      </c>
      <c r="H2" s="126"/>
      <c r="I2" s="89">
        <v>600000</v>
      </c>
      <c r="J2" s="89">
        <v>275000</v>
      </c>
      <c r="K2" s="89">
        <v>685000</v>
      </c>
      <c r="L2" s="89">
        <v>1455000</v>
      </c>
      <c r="M2" s="89">
        <v>1955000</v>
      </c>
    </row>
    <row r="3" spans="1:13" ht="13.5">
      <c r="A3" s="20" t="s">
        <v>101</v>
      </c>
      <c r="B3" s="126"/>
      <c r="C3" s="89">
        <v>0</v>
      </c>
      <c r="D3" s="89">
        <v>3300001</v>
      </c>
      <c r="E3" s="89">
        <v>4100001</v>
      </c>
      <c r="F3" s="89">
        <v>7700001</v>
      </c>
      <c r="G3" s="89">
        <v>10000001</v>
      </c>
      <c r="H3" s="126"/>
      <c r="I3" s="89">
        <v>0</v>
      </c>
      <c r="J3" s="89">
        <v>1300001</v>
      </c>
      <c r="K3" s="89">
        <v>4100001</v>
      </c>
      <c r="L3" s="89">
        <v>7700001</v>
      </c>
      <c r="M3" s="89">
        <v>10000001</v>
      </c>
    </row>
    <row r="4" spans="1:13" ht="27" customHeight="1">
      <c r="A4" s="42" t="s">
        <v>104</v>
      </c>
      <c r="B4" s="126"/>
      <c r="C4" s="89">
        <v>3300000</v>
      </c>
      <c r="D4" s="89">
        <v>4100000</v>
      </c>
      <c r="E4" s="89">
        <v>7700000</v>
      </c>
      <c r="F4" s="89">
        <v>10000000</v>
      </c>
      <c r="G4" s="89">
        <v>100000000</v>
      </c>
      <c r="H4" s="126"/>
      <c r="I4" s="92">
        <v>1300000</v>
      </c>
      <c r="J4" s="89">
        <v>4100000</v>
      </c>
      <c r="K4" s="89">
        <v>7700000</v>
      </c>
      <c r="L4" s="89">
        <v>10000000</v>
      </c>
      <c r="M4" s="92">
        <v>100000000</v>
      </c>
    </row>
    <row r="5" spans="1:14" ht="13.5">
      <c r="A5" s="20">
        <v>1</v>
      </c>
      <c r="B5" s="20">
        <f>IF('国保税計算'!N4="",0,IF('国保税計算'!N4&gt;=65,1,0))</f>
        <v>0</v>
      </c>
      <c r="C5" s="22">
        <f>IF('国保税計算'!R4&gt;='公的年金所得'!$C$2,IF(AND('国保税計算'!R4&gt;=$C$3,'国保税計算'!R4&lt;=$C$4)=TRUE,'国保税計算'!R4*$C$1-$C$2,0),0)</f>
        <v>0</v>
      </c>
      <c r="D5" s="22">
        <f>IF(AND('国保税計算'!R4&gt;=$D$3,'国保税計算'!R4&lt;=$D$4)=TRUE,'国保税計算'!R4*$D$1-$D$2,0)</f>
        <v>0</v>
      </c>
      <c r="E5" s="22">
        <f>IF(AND('国保税計算'!R4&gt;=$E$3,'国保税計算'!R4&lt;=$E$4)=TRUE,'国保税計算'!R4*$E$1-$E$2,0)</f>
        <v>0</v>
      </c>
      <c r="F5" s="22">
        <f>IF(AND('国保税計算'!S4&gt;=$F$3,'国保税計算'!S4&lt;=$F$4)=TRUE,'国保税計算'!S4*$F$1-$F$2,0)</f>
        <v>0</v>
      </c>
      <c r="G5" s="22">
        <f>IF(AND('国保税計算'!R4&gt;=$G$3,'国保税計算'!R4&lt;=$G$4)=TRUE,'国保税計算'!R4*$G$1-$G$2,0)</f>
        <v>0</v>
      </c>
      <c r="H5" s="20">
        <f>IF('国保税計算'!N4="",0,IF('国保税計算'!N4&lt;65,1,0))</f>
        <v>0</v>
      </c>
      <c r="I5" s="22">
        <f>IF('国保税計算'!R4&gt;='公的年金所得'!$I$2,IF(AND('国保税計算'!R4&gt;=$I$3,'国保税計算'!R4&lt;=$I$4)=TRUE,'国保税計算'!R4*$I$1-$I$2,0),0)</f>
        <v>0</v>
      </c>
      <c r="J5" s="22">
        <f>IF('国保税計算'!R4&gt;='公的年金所得'!$J$2,IF(AND('国保税計算'!R4&gt;=$J$3,'国保税計算'!R4&lt;=$J$4)=TRUE,'国保税計算'!R4*$J$1-$J$2,0),0)</f>
        <v>0</v>
      </c>
      <c r="K5" s="22">
        <f>IF('国保税計算'!R4&gt;='公的年金所得'!$K$2,IF(AND('国保税計算'!R4&gt;=$K$3,'国保税計算'!R4&lt;=$K$4)=TRUE,'国保税計算'!R4*$K$1-$K$2,0),0)</f>
        <v>0</v>
      </c>
      <c r="L5" s="22">
        <f>IF('国保税計算'!S4&gt;='公的年金所得'!$L$2,IF(AND('国保税計算'!S4&gt;=$L$3,'国保税計算'!S4&lt;=$L$4)=TRUE,'国保税計算'!S4*$L$1-$L$2,0),0)</f>
        <v>0</v>
      </c>
      <c r="M5" s="22">
        <f>IF('国保税計算'!R4&gt;='公的年金所得'!$M$2,IF(AND('国保税計算'!R4&gt;=$M$3,'国保税計算'!R4&lt;=$M$4)=TRUE,'国保税計算'!R4*$M$1-$M$2,0),0)</f>
        <v>0</v>
      </c>
      <c r="N5" s="21">
        <f>B5*(C5+D5+E5+F5+G5)+H5*(I5+J5+K5+L5+M5)</f>
        <v>0</v>
      </c>
    </row>
    <row r="6" spans="1:14" ht="13.5">
      <c r="A6" s="20">
        <v>2</v>
      </c>
      <c r="B6" s="20">
        <f>IF('国保税計算'!N5="",0,IF('国保税計算'!N5&gt;=65,1,0))</f>
        <v>0</v>
      </c>
      <c r="C6" s="22">
        <f>IF('国保税計算'!R5&gt;='公的年金所得'!$C$2,IF(AND('国保税計算'!R5&gt;=$C$3,'国保税計算'!R5&lt;=$C$4)=TRUE,'国保税計算'!R5*$C$1-$C$2,0),0)</f>
        <v>0</v>
      </c>
      <c r="D6" s="22">
        <f>IF(AND('国保税計算'!R5&gt;=$D$3,'国保税計算'!R5&lt;=$D$4)=TRUE,'国保税計算'!R5*$D$1-$D$2,0)</f>
        <v>0</v>
      </c>
      <c r="E6" s="22">
        <f>IF(AND('国保税計算'!R5&gt;=$E$3,'国保税計算'!R5&lt;=$E$4)=TRUE,'国保税計算'!R5*$E$1-$E$2,0)</f>
        <v>0</v>
      </c>
      <c r="F6" s="22">
        <f>IF(AND('国保税計算'!S5&gt;=$F$3,'国保税計算'!S5&lt;=$F$4)=TRUE,'国保税計算'!S5*$F$1-$F$2,0)</f>
        <v>0</v>
      </c>
      <c r="G6" s="22">
        <f>IF(AND('国保税計算'!R5&gt;=$G$3,'国保税計算'!R5&lt;=$G$4)=TRUE,'国保税計算'!R5*$G$1-$G$2,0)</f>
        <v>0</v>
      </c>
      <c r="H6" s="20">
        <f>IF('国保税計算'!N5="",0,IF('国保税計算'!N5&lt;65,1,0))</f>
        <v>0</v>
      </c>
      <c r="I6" s="22">
        <f>IF('国保税計算'!R5&gt;='公的年金所得'!$I$2,IF(AND('国保税計算'!R5&gt;=$I$3,'国保税計算'!R5&lt;=$I$4)=TRUE,'国保税計算'!R5*$I$1-$I$2,0),0)</f>
        <v>0</v>
      </c>
      <c r="J6" s="22">
        <f>IF('国保税計算'!R5&gt;='公的年金所得'!$J$2,IF(AND('国保税計算'!R5&gt;=$J$3,'国保税計算'!R5&lt;=$J$4)=TRUE,'国保税計算'!R5*$J$1-$J$2,0),0)</f>
        <v>0</v>
      </c>
      <c r="K6" s="22">
        <f>IF('国保税計算'!R5&gt;='公的年金所得'!$K$2,IF(AND('国保税計算'!R5&gt;=$K$3,'国保税計算'!R5&lt;=$K$4)=TRUE,'国保税計算'!R5*$K$1-$K$2,0),0)</f>
        <v>0</v>
      </c>
      <c r="L6" s="22">
        <f>IF('国保税計算'!S5&gt;='公的年金所得'!$L$2,IF(AND('国保税計算'!S5&gt;=$L$3,'国保税計算'!S5&lt;=$L$4)=TRUE,'国保税計算'!S5*$L$1-$L$2,0),0)</f>
        <v>0</v>
      </c>
      <c r="M6" s="22">
        <f>IF('国保税計算'!R5&gt;='公的年金所得'!$M$2,IF(AND('国保税計算'!R5&gt;=$M$3,'国保税計算'!R5&lt;=$M$4)=TRUE,'国保税計算'!R5*$M$1-$M$2,0),0)</f>
        <v>0</v>
      </c>
      <c r="N6" s="21">
        <f aca="true" t="shared" si="0" ref="N6:N14">B6*(C6+D6+E6+F6+G6)+H6*(I6+J6+K6+L6+M6)</f>
        <v>0</v>
      </c>
    </row>
    <row r="7" spans="1:18" ht="13.5">
      <c r="A7" s="20">
        <v>3</v>
      </c>
      <c r="B7" s="20">
        <f>IF('国保税計算'!N6="",0,IF('国保税計算'!N6&gt;=65,1,0))</f>
        <v>0</v>
      </c>
      <c r="C7" s="22">
        <f>IF('国保税計算'!R6&gt;='公的年金所得'!$C$2,IF(AND('国保税計算'!R6&gt;=$C$3,'国保税計算'!R6&lt;=$C$4)=TRUE,'国保税計算'!R6*$C$1-$C$2,0),0)</f>
        <v>0</v>
      </c>
      <c r="D7" s="22">
        <f>IF(AND('国保税計算'!R6&gt;=$D$3,'国保税計算'!R6&lt;=$D$4)=TRUE,'国保税計算'!R6*$D$1-$D$2,0)</f>
        <v>0</v>
      </c>
      <c r="E7" s="22">
        <f>IF(AND('国保税計算'!R6&gt;=$E$3,'国保税計算'!R6&lt;=$E$4)=TRUE,'国保税計算'!R6*$E$1-$E$2,0)</f>
        <v>0</v>
      </c>
      <c r="F7" s="22">
        <f>IF(AND('国保税計算'!S6&gt;=$F$3,'国保税計算'!S6&lt;=$F$4)=TRUE,'国保税計算'!S6*$F$1-$F$2,0)</f>
        <v>0</v>
      </c>
      <c r="G7" s="22">
        <f>IF(AND('国保税計算'!R6&gt;=$G$3,'国保税計算'!R6&lt;=$G$4)=TRUE,'国保税計算'!R6*$G$1-$G$2,0)</f>
        <v>0</v>
      </c>
      <c r="H7" s="20">
        <f>IF('国保税計算'!N6="",0,IF('国保税計算'!N6&lt;65,1,0))</f>
        <v>0</v>
      </c>
      <c r="I7" s="22">
        <f>IF('国保税計算'!R6&gt;='公的年金所得'!$I$2,IF(AND('国保税計算'!R6&gt;=$I$3,'国保税計算'!R6&lt;=$I$4)=TRUE,'国保税計算'!R6*$I$1-$I$2,0),0)</f>
        <v>0</v>
      </c>
      <c r="J7" s="22">
        <f>IF('国保税計算'!R6&gt;='公的年金所得'!$J$2,IF(AND('国保税計算'!R6&gt;=$J$3,'国保税計算'!R6&lt;=$J$4)=TRUE,'国保税計算'!R6*$J$1-$J$2,0),0)</f>
        <v>0</v>
      </c>
      <c r="K7" s="22">
        <f>IF('国保税計算'!R6&gt;='公的年金所得'!$K$2,IF(AND('国保税計算'!R6&gt;=$K$3,'国保税計算'!R6&lt;=$K$4)=TRUE,'国保税計算'!R6*$K$1-$K$2,0),0)</f>
        <v>0</v>
      </c>
      <c r="L7" s="22">
        <f>IF('国保税計算'!S6&gt;='公的年金所得'!$L$2,IF(AND('国保税計算'!S6&gt;=$L$3,'国保税計算'!S6&lt;=$L$4)=TRUE,'国保税計算'!S6*$L$1-$L$2,0),0)</f>
        <v>0</v>
      </c>
      <c r="M7" s="22">
        <f>IF('国保税計算'!R6&gt;='公的年金所得'!$M$2,IF(AND('国保税計算'!R6&gt;=$M$3,'国保税計算'!R6&lt;=$M$4)=TRUE,'国保税計算'!R6*$M$1-$M$2,0),0)</f>
        <v>0</v>
      </c>
      <c r="N7" s="21">
        <f t="shared" si="0"/>
        <v>0</v>
      </c>
      <c r="R7" s="20" t="s">
        <v>93</v>
      </c>
    </row>
    <row r="8" spans="1:18" ht="13.5">
      <c r="A8" s="20">
        <v>4</v>
      </c>
      <c r="B8" s="20">
        <f>IF('国保税計算'!N7="",0,IF('国保税計算'!N7&gt;=65,1,0))</f>
        <v>0</v>
      </c>
      <c r="C8" s="22">
        <f>IF('国保税計算'!R7&gt;='公的年金所得'!$C$2,IF(AND('国保税計算'!R7&gt;=$C$3,'国保税計算'!R7&lt;=$C$4)=TRUE,'国保税計算'!R7*$C$1-$C$2,0),0)</f>
        <v>0</v>
      </c>
      <c r="D8" s="22">
        <f>IF(AND('国保税計算'!R7&gt;=$D$3,'国保税計算'!R7&lt;=$D$4)=TRUE,'国保税計算'!R7*$D$1-$D$2,0)</f>
        <v>0</v>
      </c>
      <c r="E8" s="22">
        <f>IF(AND('国保税計算'!R7&gt;=$E$3,'国保税計算'!R7&lt;=$E$4)=TRUE,'国保税計算'!R7*$E$1-$E$2,0)</f>
        <v>0</v>
      </c>
      <c r="F8" s="22">
        <f>IF(AND('国保税計算'!S7&gt;=$F$3,'国保税計算'!S7&lt;=$F$4)=TRUE,'国保税計算'!S7*$F$1-$F$2,0)</f>
        <v>0</v>
      </c>
      <c r="G8" s="22">
        <f>IF(AND('国保税計算'!R7&gt;=$G$3,'国保税計算'!R7&lt;=$G$4)=TRUE,'国保税計算'!R7*$G$1-$G$2,0)</f>
        <v>0</v>
      </c>
      <c r="H8" s="20">
        <f>IF('国保税計算'!N7="",0,IF('国保税計算'!N7&lt;65,1,0))</f>
        <v>0</v>
      </c>
      <c r="I8" s="22">
        <f>IF('国保税計算'!R7&gt;='公的年金所得'!$I$2,IF(AND('国保税計算'!R7&gt;=$I$3,'国保税計算'!R7&lt;=$I$4)=TRUE,'国保税計算'!R7*$I$1-$I$2,0),0)</f>
        <v>0</v>
      </c>
      <c r="J8" s="22">
        <f>IF('国保税計算'!R7&gt;='公的年金所得'!$J$2,IF(AND('国保税計算'!R7&gt;=$J$3,'国保税計算'!R7&lt;=$J$4)=TRUE,'国保税計算'!R7*$J$1-$J$2,0),0)</f>
        <v>0</v>
      </c>
      <c r="K8" s="22">
        <f>IF('国保税計算'!R7&gt;='公的年金所得'!$K$2,IF(AND('国保税計算'!R7&gt;=$K$3,'国保税計算'!R7&lt;=$K$4)=TRUE,'国保税計算'!R7*$K$1-$K$2,0),0)</f>
        <v>0</v>
      </c>
      <c r="L8" s="22">
        <f>IF('国保税計算'!S7&gt;='公的年金所得'!$L$2,IF(AND('国保税計算'!S7&gt;=$L$3,'国保税計算'!S7&lt;=$L$4)=TRUE,'国保税計算'!S7*$L$1-$L$2,0),0)</f>
        <v>0</v>
      </c>
      <c r="M8" s="22">
        <f>IF('国保税計算'!R7&gt;='公的年金所得'!$M$2,IF(AND('国保税計算'!R7&gt;=$M$3,'国保税計算'!R7&lt;=$M$4)=TRUE,'国保税計算'!R7*$M$1-$M$2,0),0)</f>
        <v>0</v>
      </c>
      <c r="N8" s="21">
        <f t="shared" si="0"/>
        <v>0</v>
      </c>
      <c r="R8" s="20" t="s">
        <v>94</v>
      </c>
    </row>
    <row r="9" spans="1:18" ht="13.5">
      <c r="A9" s="20">
        <v>5</v>
      </c>
      <c r="B9" s="20">
        <f>IF('国保税計算'!N8="",0,IF('国保税計算'!N8&gt;=65,1,0))</f>
        <v>0</v>
      </c>
      <c r="C9" s="22">
        <f>IF('国保税計算'!R8&gt;='公的年金所得'!$C$2,IF(AND('国保税計算'!R8&gt;=$C$3,'国保税計算'!R8&lt;=$C$4)=TRUE,'国保税計算'!R8*$C$1-$C$2,0),0)</f>
        <v>0</v>
      </c>
      <c r="D9" s="22">
        <f>IF(AND('国保税計算'!R8&gt;=$D$3,'国保税計算'!R8&lt;=$D$4)=TRUE,'国保税計算'!R8*$D$1-$D$2,0)</f>
        <v>0</v>
      </c>
      <c r="E9" s="22">
        <f>IF(AND('国保税計算'!R8&gt;=$E$3,'国保税計算'!R8&lt;=$E$4)=TRUE,'国保税計算'!R8*$E$1-$E$2,0)</f>
        <v>0</v>
      </c>
      <c r="F9" s="22">
        <f>IF(AND('国保税計算'!S8&gt;=$F$3,'国保税計算'!S8&lt;=$F$4)=TRUE,'国保税計算'!S8*$F$1-$F$2,0)</f>
        <v>0</v>
      </c>
      <c r="G9" s="22">
        <f>IF(AND('国保税計算'!R8&gt;=$G$3,'国保税計算'!R8&lt;=$G$4)=TRUE,'国保税計算'!R8*$G$1-$G$2,0)</f>
        <v>0</v>
      </c>
      <c r="H9" s="20">
        <f>IF('国保税計算'!N8="",0,IF('国保税計算'!N8&lt;65,1,0))</f>
        <v>0</v>
      </c>
      <c r="I9" s="22">
        <f>IF('国保税計算'!R8&gt;='公的年金所得'!$I$2,IF(AND('国保税計算'!R8&gt;=$I$3,'国保税計算'!R8&lt;=$I$4)=TRUE,'国保税計算'!R8*$I$1-$I$2,0),0)</f>
        <v>0</v>
      </c>
      <c r="J9" s="22">
        <f>IF('国保税計算'!R8&gt;='公的年金所得'!$J$2,IF(AND('国保税計算'!R8&gt;=$J$3,'国保税計算'!R8&lt;=$J$4)=TRUE,'国保税計算'!R8*$J$1-$J$2,0),0)</f>
        <v>0</v>
      </c>
      <c r="K9" s="22">
        <f>IF('国保税計算'!R8&gt;='公的年金所得'!$K$2,IF(AND('国保税計算'!R8&gt;=$K$3,'国保税計算'!R8&lt;=$K$4)=TRUE,'国保税計算'!R8*$K$1-$K$2,0),0)</f>
        <v>0</v>
      </c>
      <c r="L9" s="22">
        <f>IF('国保税計算'!S8&gt;='公的年金所得'!$L$2,IF(AND('国保税計算'!S8&gt;=$L$3,'国保税計算'!S8&lt;=$L$4)=TRUE,'国保税計算'!S8*$L$1-$L$2,0),0)</f>
        <v>0</v>
      </c>
      <c r="M9" s="22">
        <f>IF('国保税計算'!R8&gt;='公的年金所得'!$M$2,IF(AND('国保税計算'!R8&gt;=$M$3,'国保税計算'!R8&lt;=$M$4)=TRUE,'国保税計算'!R8*$M$1-$M$2,0),0)</f>
        <v>0</v>
      </c>
      <c r="N9" s="21">
        <f t="shared" si="0"/>
        <v>0</v>
      </c>
      <c r="R9" s="20" t="s">
        <v>95</v>
      </c>
    </row>
    <row r="10" spans="1:14" ht="13.5">
      <c r="A10" s="20">
        <v>6</v>
      </c>
      <c r="B10" s="20">
        <f>IF('国保税計算'!N9="",0,IF('国保税計算'!N9&gt;=65,1,0))</f>
        <v>0</v>
      </c>
      <c r="C10" s="22">
        <f>IF('国保税計算'!R9&gt;='公的年金所得'!$C$2,IF(AND('国保税計算'!R9&gt;=$C$3,'国保税計算'!R9&lt;=$C$4)=TRUE,'国保税計算'!R9*$C$1-$C$2,0),0)</f>
        <v>0</v>
      </c>
      <c r="D10" s="22">
        <f>IF(AND('国保税計算'!R9&gt;=$D$3,'国保税計算'!R9&lt;=$D$4)=TRUE,'国保税計算'!R9*$D$1-$D$2,0)</f>
        <v>0</v>
      </c>
      <c r="E10" s="22">
        <f>IF(AND('国保税計算'!R9&gt;=$E$3,'国保税計算'!R9&lt;=$E$4)=TRUE,'国保税計算'!R9*$E$1-$E$2,0)</f>
        <v>0</v>
      </c>
      <c r="F10" s="22">
        <f>IF(AND('国保税計算'!S9&gt;=$F$3,'国保税計算'!S9&lt;=$F$4)=TRUE,'国保税計算'!S9*$F$1-$F$2,0)</f>
        <v>0</v>
      </c>
      <c r="G10" s="22">
        <f>IF(AND('国保税計算'!R9&gt;=$G$3,'国保税計算'!R9&lt;=$G$4)=TRUE,'国保税計算'!R9*$G$1-$G$2,0)</f>
        <v>0</v>
      </c>
      <c r="H10" s="20">
        <f>IF('国保税計算'!N9="",0,IF('国保税計算'!N9&lt;65,1,0))</f>
        <v>0</v>
      </c>
      <c r="I10" s="22">
        <f>IF('国保税計算'!R9&gt;='公的年金所得'!$I$2,IF(AND('国保税計算'!R9&gt;=$I$3,'国保税計算'!R9&lt;=$I$4)=TRUE,'国保税計算'!R9*$I$1-$I$2,0),0)</f>
        <v>0</v>
      </c>
      <c r="J10" s="22">
        <f>IF('国保税計算'!R9&gt;='公的年金所得'!$J$2,IF(AND('国保税計算'!R9&gt;=$J$3,'国保税計算'!R9&lt;=$J$4)=TRUE,'国保税計算'!R9*$J$1-$J$2,0),0)</f>
        <v>0</v>
      </c>
      <c r="K10" s="22">
        <f>IF('国保税計算'!R9&gt;='公的年金所得'!$K$2,IF(AND('国保税計算'!R9&gt;=$K$3,'国保税計算'!R9&lt;=$K$4)=TRUE,'国保税計算'!R9*$K$1-$K$2,0),0)</f>
        <v>0</v>
      </c>
      <c r="L10" s="22">
        <f>IF('国保税計算'!S9&gt;='公的年金所得'!$L$2,IF(AND('国保税計算'!S9&gt;=$L$3,'国保税計算'!S9&lt;=$L$4)=TRUE,'国保税計算'!S9*$L$1-$L$2,0),0)</f>
        <v>0</v>
      </c>
      <c r="M10" s="22">
        <f>IF('国保税計算'!R9&gt;='公的年金所得'!$M$2,IF(AND('国保税計算'!R9&gt;=$M$3,'国保税計算'!R9&lt;=$M$4)=TRUE,'国保税計算'!R9*$M$1-$M$2,0),0)</f>
        <v>0</v>
      </c>
      <c r="N10" s="21">
        <f t="shared" si="0"/>
        <v>0</v>
      </c>
    </row>
    <row r="11" spans="1:14" ht="13.5">
      <c r="A11" s="20">
        <v>7</v>
      </c>
      <c r="B11" s="20">
        <f>IF('国保税計算'!N10="",0,IF('国保税計算'!N10&gt;=65,1,0))</f>
        <v>0</v>
      </c>
      <c r="C11" s="22">
        <f>IF('国保税計算'!R10&gt;='公的年金所得'!$C$2,IF(AND('国保税計算'!R10&gt;=$C$3,'国保税計算'!R10&lt;=$C$4)=TRUE,'国保税計算'!R10*$C$1-$C$2,0),0)</f>
        <v>0</v>
      </c>
      <c r="D11" s="22">
        <f>IF(AND('国保税計算'!R10&gt;=$D$3,'国保税計算'!R10&lt;=$D$4)=TRUE,'国保税計算'!R10*$D$1-$D$2,0)</f>
        <v>0</v>
      </c>
      <c r="E11" s="22">
        <f>IF(AND('国保税計算'!R10&gt;=$E$3,'国保税計算'!R10&lt;=$E$4)=TRUE,'国保税計算'!R10*$E$1-$E$2,0)</f>
        <v>0</v>
      </c>
      <c r="F11" s="22">
        <f>IF(AND('国保税計算'!S10&gt;=$F$3,'国保税計算'!S10&lt;=$F$4)=TRUE,'国保税計算'!S10*$F$1-$F$2,0)</f>
        <v>0</v>
      </c>
      <c r="G11" s="22">
        <f>IF(AND('国保税計算'!R10&gt;=$G$3,'国保税計算'!R10&lt;=$G$4)=TRUE,'国保税計算'!R10*$G$1-$G$2,0)</f>
        <v>0</v>
      </c>
      <c r="H11" s="20">
        <f>IF('国保税計算'!N10="",0,IF('国保税計算'!N10&lt;65,1,0))</f>
        <v>0</v>
      </c>
      <c r="I11" s="22">
        <f>IF('国保税計算'!R10&gt;='公的年金所得'!$I$2,IF(AND('国保税計算'!R10&gt;=$I$3,'国保税計算'!R10&lt;=$I$4)=TRUE,'国保税計算'!R10*$I$1-$I$2,0),0)</f>
        <v>0</v>
      </c>
      <c r="J11" s="22">
        <f>IF('国保税計算'!R10&gt;='公的年金所得'!$J$2,IF(AND('国保税計算'!R10&gt;=$J$3,'国保税計算'!R10&lt;=$J$4)=TRUE,'国保税計算'!R10*$J$1-$J$2,0),0)</f>
        <v>0</v>
      </c>
      <c r="K11" s="22">
        <f>IF('国保税計算'!R10&gt;='公的年金所得'!$K$2,IF(AND('国保税計算'!R10&gt;=$K$3,'国保税計算'!R10&lt;=$K$4)=TRUE,'国保税計算'!R10*$K$1-$K$2,0),0)</f>
        <v>0</v>
      </c>
      <c r="L11" s="22">
        <f>IF('国保税計算'!S10&gt;='公的年金所得'!$L$2,IF(AND('国保税計算'!S10&gt;=$L$3,'国保税計算'!S10&lt;=$L$4)=TRUE,'国保税計算'!S10*$L$1-$L$2,0),0)</f>
        <v>0</v>
      </c>
      <c r="M11" s="22">
        <f>IF('国保税計算'!R10&gt;='公的年金所得'!$M$2,IF(AND('国保税計算'!R10&gt;=$M$3,'国保税計算'!R10&lt;=$M$4)=TRUE,'国保税計算'!R10*$M$1-$M$2,0),0)</f>
        <v>0</v>
      </c>
      <c r="N11" s="21">
        <f t="shared" si="0"/>
        <v>0</v>
      </c>
    </row>
    <row r="12" spans="1:14" ht="13.5">
      <c r="A12" s="20">
        <v>8</v>
      </c>
      <c r="B12" s="20">
        <f>IF('国保税計算'!N11="",0,IF('国保税計算'!N11&gt;=65,1,0))</f>
        <v>0</v>
      </c>
      <c r="C12" s="22">
        <f>IF('国保税計算'!R11&gt;='公的年金所得'!$C$2,IF(AND('国保税計算'!R11&gt;=$C$3,'国保税計算'!R11&lt;=$C$4)=TRUE,'国保税計算'!R11*$C$1-$C$2,0),0)</f>
        <v>0</v>
      </c>
      <c r="D12" s="22">
        <f>IF(AND('国保税計算'!R11&gt;=$D$3,'国保税計算'!R11&lt;=$D$4)=TRUE,'国保税計算'!R11*$D$1-$D$2,0)</f>
        <v>0</v>
      </c>
      <c r="E12" s="22">
        <f>IF(AND('国保税計算'!R11&gt;=$E$3,'国保税計算'!R11&lt;=$E$4)=TRUE,'国保税計算'!R11*$E$1-$E$2,0)</f>
        <v>0</v>
      </c>
      <c r="F12" s="22">
        <f>IF(AND('国保税計算'!S11&gt;=$F$3,'国保税計算'!S11&lt;=$F$4)=TRUE,'国保税計算'!S11*$F$1-$F$2,0)</f>
        <v>0</v>
      </c>
      <c r="G12" s="22">
        <f>IF(AND('国保税計算'!R11&gt;=$G$3,'国保税計算'!R11&lt;=$G$4)=TRUE,'国保税計算'!R11*$G$1-$G$2,0)</f>
        <v>0</v>
      </c>
      <c r="H12" s="20">
        <f>IF('国保税計算'!N11="",0,IF('国保税計算'!N11&lt;65,1,0))</f>
        <v>0</v>
      </c>
      <c r="I12" s="22">
        <f>IF('国保税計算'!R11&gt;='公的年金所得'!$I$2,IF(AND('国保税計算'!R11&gt;=$I$3,'国保税計算'!R11&lt;=$I$4)=TRUE,'国保税計算'!R11*$I$1-$I$2,0),0)</f>
        <v>0</v>
      </c>
      <c r="J12" s="22">
        <f>IF('国保税計算'!R11&gt;='公的年金所得'!$J$2,IF(AND('国保税計算'!R11&gt;=$J$3,'国保税計算'!R11&lt;=$J$4)=TRUE,'国保税計算'!R11*$J$1-$J$2,0),0)</f>
        <v>0</v>
      </c>
      <c r="K12" s="22">
        <f>IF('国保税計算'!R11&gt;='公的年金所得'!$K$2,IF(AND('国保税計算'!R11&gt;=$K$3,'国保税計算'!R11&lt;=$K$4)=TRUE,'国保税計算'!R11*$K$1-$K$2,0),0)</f>
        <v>0</v>
      </c>
      <c r="L12" s="22">
        <f>IF('国保税計算'!S11&gt;='公的年金所得'!$L$2,IF(AND('国保税計算'!S11&gt;=$L$3,'国保税計算'!S11&lt;=$L$4)=TRUE,'国保税計算'!S11*$L$1-$L$2,0),0)</f>
        <v>0</v>
      </c>
      <c r="M12" s="22">
        <f>IF('国保税計算'!R11&gt;='公的年金所得'!$M$2,IF(AND('国保税計算'!R11&gt;=$M$3,'国保税計算'!R11&lt;=$M$4)=TRUE,'国保税計算'!R11*$M$1-$M$2,0),0)</f>
        <v>0</v>
      </c>
      <c r="N12" s="21">
        <f t="shared" si="0"/>
        <v>0</v>
      </c>
    </row>
    <row r="13" spans="1:14" ht="13.5">
      <c r="A13" s="20">
        <v>9</v>
      </c>
      <c r="B13" s="20">
        <f>IF('国保税計算'!N12="",0,IF('国保税計算'!N12&gt;=65,1,0))</f>
        <v>0</v>
      </c>
      <c r="C13" s="22">
        <f>IF('国保税計算'!R12&gt;='公的年金所得'!$C$2,IF(AND('国保税計算'!R12&gt;=$C$3,'国保税計算'!R12&lt;=$C$4)=TRUE,'国保税計算'!R12*$C$1-$C$2,0),0)</f>
        <v>0</v>
      </c>
      <c r="D13" s="22">
        <f>IF(AND('国保税計算'!R12&gt;=$D$3,'国保税計算'!R12&lt;=$D$4)=TRUE,'国保税計算'!R12*$D$1-$D$2,0)</f>
        <v>0</v>
      </c>
      <c r="E13" s="22">
        <f>IF(AND('国保税計算'!R12&gt;=$E$3,'国保税計算'!R12&lt;=$E$4)=TRUE,'国保税計算'!R12*$E$1-$E$2,0)</f>
        <v>0</v>
      </c>
      <c r="F13" s="22">
        <f>IF(AND('国保税計算'!S12&gt;=$F$3,'国保税計算'!S12&lt;=$F$4)=TRUE,'国保税計算'!S12*$F$1-$F$2,0)</f>
        <v>0</v>
      </c>
      <c r="G13" s="22">
        <f>IF(AND('国保税計算'!R12&gt;=$G$3,'国保税計算'!R12&lt;=$G$4)=TRUE,'国保税計算'!R12*$G$1-$G$2,0)</f>
        <v>0</v>
      </c>
      <c r="H13" s="20">
        <f>IF('国保税計算'!N12="",0,IF('国保税計算'!N12&lt;65,1,0))</f>
        <v>0</v>
      </c>
      <c r="I13" s="22">
        <f>IF('国保税計算'!R12&gt;='公的年金所得'!$I$2,IF(AND('国保税計算'!R12&gt;=$I$3,'国保税計算'!R12&lt;=$I$4)=TRUE,'国保税計算'!R12*$I$1-$I$2,0),0)</f>
        <v>0</v>
      </c>
      <c r="J13" s="22">
        <f>IF('国保税計算'!R12&gt;='公的年金所得'!$J$2,IF(AND('国保税計算'!R12&gt;=$J$3,'国保税計算'!R12&lt;=$J$4)=TRUE,'国保税計算'!R12*$J$1-$J$2,0),0)</f>
        <v>0</v>
      </c>
      <c r="K13" s="22">
        <f>IF('国保税計算'!R12&gt;='公的年金所得'!$K$2,IF(AND('国保税計算'!R12&gt;=$K$3,'国保税計算'!R12&lt;=$K$4)=TRUE,'国保税計算'!R12*$K$1-$K$2,0),0)</f>
        <v>0</v>
      </c>
      <c r="L13" s="22">
        <f>IF('国保税計算'!S12&gt;='公的年金所得'!$L$2,IF(AND('国保税計算'!S12&gt;=$L$3,'国保税計算'!S12&lt;=$L$4)=TRUE,'国保税計算'!S12*$L$1-$L$2,0),0)</f>
        <v>0</v>
      </c>
      <c r="M13" s="22">
        <f>IF('国保税計算'!R12&gt;='公的年金所得'!$M$2,IF(AND('国保税計算'!R12&gt;=$M$3,'国保税計算'!R12&lt;=$M$4)=TRUE,'国保税計算'!R12*$M$1-$M$2,0),0)</f>
        <v>0</v>
      </c>
      <c r="N13" s="21">
        <f t="shared" si="0"/>
        <v>0</v>
      </c>
    </row>
    <row r="14" spans="1:14" ht="13.5">
      <c r="A14" s="20">
        <v>10</v>
      </c>
      <c r="B14" s="20">
        <f>IF('国保税計算'!N13="",0,IF('国保税計算'!N13&gt;=65,1,0))</f>
        <v>0</v>
      </c>
      <c r="C14" s="22">
        <f>IF('国保税計算'!R13&gt;='公的年金所得'!$C$2,IF(AND('国保税計算'!R13&gt;=$C$3,'国保税計算'!R13&lt;=$C$4)=TRUE,'国保税計算'!R13*$C$1-$C$2,0),0)</f>
        <v>0</v>
      </c>
      <c r="D14" s="22">
        <f>IF(AND('国保税計算'!R13&gt;=$D$3,'国保税計算'!R13&lt;=$D$4)=TRUE,'国保税計算'!R13*$D$1-$D$2,0)</f>
        <v>0</v>
      </c>
      <c r="E14" s="22">
        <f>IF(AND('国保税計算'!R13&gt;=$E$3,'国保税計算'!R13&lt;=$E$4)=TRUE,'国保税計算'!R13*$E$1-$E$2,0)</f>
        <v>0</v>
      </c>
      <c r="F14" s="22">
        <f>IF(AND('国保税計算'!S13&gt;=$F$3,'国保税計算'!S13&lt;=$F$4)=TRUE,'国保税計算'!S13*$F$1-$F$2,0)</f>
        <v>0</v>
      </c>
      <c r="G14" s="22">
        <f>IF(AND('国保税計算'!R13&gt;=$G$3,'国保税計算'!R13&lt;=$G$4)=TRUE,'国保税計算'!R13*$G$1-$G$2,0)</f>
        <v>0</v>
      </c>
      <c r="H14" s="20">
        <f>IF('国保税計算'!N13="",0,IF('国保税計算'!N13&lt;65,1,0))</f>
        <v>0</v>
      </c>
      <c r="I14" s="22">
        <f>IF('国保税計算'!R13&gt;='公的年金所得'!$I$2,IF(AND('国保税計算'!R13&gt;=$I$3,'国保税計算'!R13&lt;=$I$4)=TRUE,'国保税計算'!R13*$I$1-$I$2,0),0)</f>
        <v>0</v>
      </c>
      <c r="J14" s="22">
        <f>IF('国保税計算'!R13&gt;='公的年金所得'!$J$2,IF(AND('国保税計算'!R13&gt;=$J$3,'国保税計算'!R13&lt;=$J$4)=TRUE,'国保税計算'!R13*$J$1-$J$2,0),0)</f>
        <v>0</v>
      </c>
      <c r="K14" s="22">
        <f>IF('国保税計算'!R13&gt;='公的年金所得'!$K$2,IF(AND('国保税計算'!R13&gt;=$K$3,'国保税計算'!R13&lt;=$K$4)=TRUE,'国保税計算'!R13*$K$1-$K$2,0),0)</f>
        <v>0</v>
      </c>
      <c r="L14" s="22">
        <f>IF('国保税計算'!S13&gt;='公的年金所得'!$L$2,IF(AND('国保税計算'!S13&gt;=$L$3,'国保税計算'!S13&lt;=$L$4)=TRUE,'国保税計算'!S13*$L$1-$L$2,0),0)</f>
        <v>0</v>
      </c>
      <c r="M14" s="22">
        <f>IF('国保税計算'!R13&gt;='公的年金所得'!$M$2,IF(AND('国保税計算'!R13&gt;=$M$3,'国保税計算'!R13&lt;=$M$4)=TRUE,'国保税計算'!R13*$M$1-$M$2,0),0)</f>
        <v>0</v>
      </c>
      <c r="N14" s="21">
        <f t="shared" si="0"/>
        <v>0</v>
      </c>
    </row>
    <row r="19" spans="1:16" ht="13.5">
      <c r="A19" s="85"/>
      <c r="B19" s="85"/>
      <c r="C19" s="85"/>
      <c r="D19" s="85"/>
      <c r="E19" s="85"/>
      <c r="F19" s="85"/>
      <c r="G19" s="85"/>
      <c r="H19" s="85"/>
      <c r="I19" s="85"/>
      <c r="J19" s="85"/>
      <c r="K19" s="85"/>
      <c r="L19" s="85"/>
      <c r="M19" s="85"/>
      <c r="N19" s="102"/>
      <c r="O19" s="85"/>
      <c r="P19" s="85"/>
    </row>
  </sheetData>
  <sheetProtection password="C765" sheet="1" selectLockedCells="1"/>
  <mergeCells count="2">
    <mergeCell ref="B1:B4"/>
    <mergeCell ref="H1:H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theme="1"/>
  </sheetPr>
  <dimension ref="A1:L18"/>
  <sheetViews>
    <sheetView showGridLines="0" showRowColHeaders="0" zoomScalePageLayoutView="0" workbookViewId="0" topLeftCell="K1">
      <selection activeCell="N2" sqref="N2"/>
    </sheetView>
  </sheetViews>
  <sheetFormatPr defaultColWidth="9.00390625" defaultRowHeight="13.5"/>
  <cols>
    <col min="1" max="1" width="3.50390625" style="0" hidden="1" customWidth="1"/>
    <col min="2" max="2" width="23.25390625" style="0" hidden="1" customWidth="1"/>
    <col min="3" max="3" width="11.875" style="0" hidden="1" customWidth="1"/>
    <col min="4" max="4" width="31.875" style="30" hidden="1" customWidth="1"/>
    <col min="5" max="5" width="4.50390625" style="0" hidden="1" customWidth="1"/>
    <col min="6" max="6" width="11.875" style="0" hidden="1" customWidth="1"/>
    <col min="7" max="7" width="6.125" style="0" hidden="1" customWidth="1"/>
    <col min="8" max="8" width="9.50390625" style="0" hidden="1" customWidth="1"/>
    <col min="9" max="10" width="9.00390625" style="0" hidden="1" customWidth="1"/>
  </cols>
  <sheetData>
    <row r="1" spans="2:8" ht="13.5">
      <c r="B1" s="14" t="s">
        <v>22</v>
      </c>
      <c r="C1" s="14" t="s">
        <v>23</v>
      </c>
      <c r="D1" s="14" t="s">
        <v>26</v>
      </c>
      <c r="F1" s="25" t="s">
        <v>23</v>
      </c>
      <c r="G1" s="25" t="s">
        <v>24</v>
      </c>
      <c r="H1" s="25" t="s">
        <v>25</v>
      </c>
    </row>
    <row r="2" spans="1:8" ht="14.25">
      <c r="A2">
        <v>1</v>
      </c>
      <c r="B2" s="24">
        <f>'国保税計算'!Q4</f>
        <v>0</v>
      </c>
      <c r="C2" s="26">
        <f>IF(B2&lt;=1618999,B2,IF(B2&lt;=1619999,B2-MOD(B2-1619000,1000),IF(B2&lt;=1623999,B2-MOD(B2-1620000,2000),IF(B2&lt;=6599999,B2-MOD(B2-1624000,4000),B2))))</f>
        <v>0</v>
      </c>
      <c r="D2" s="29">
        <f>IF(C2=0,0,ROUNDDOWN(C2*VLOOKUP(C2,$F$2:$H$12,2)-VLOOKUP(C2,$F$2:$H$12,3),0))</f>
        <v>0</v>
      </c>
      <c r="F2" s="27">
        <v>1</v>
      </c>
      <c r="G2" s="28">
        <v>0</v>
      </c>
      <c r="H2" s="27">
        <v>0</v>
      </c>
    </row>
    <row r="3" spans="1:8" ht="14.25">
      <c r="A3">
        <v>2</v>
      </c>
      <c r="B3" s="24">
        <f>'国保税計算'!Q5</f>
        <v>0</v>
      </c>
      <c r="C3" s="26">
        <f>IF(B3&lt;=1618999,B3,IF(B3&lt;=1619999,B3-MOD(B3-1619000,1000),IF(B3&lt;=1623999,B3-MOD(B3-1620000,2000),IF(B3&lt;=6599999,B3-MOD(B3-1624000,4000),B3))))</f>
        <v>0</v>
      </c>
      <c r="D3" s="29">
        <f>IF(C3=0,0,ROUNDDOWN(C3*VLOOKUP(C3,$F$2:$H$12,2)-VLOOKUP(C3,$F$2:$H$12,3),0))</f>
        <v>0</v>
      </c>
      <c r="F3" s="27">
        <v>551000</v>
      </c>
      <c r="G3" s="28">
        <v>1</v>
      </c>
      <c r="H3" s="27">
        <v>550000</v>
      </c>
    </row>
    <row r="4" spans="1:8" ht="14.25">
      <c r="A4">
        <v>3</v>
      </c>
      <c r="B4" s="24">
        <f>'国保税計算'!Q6</f>
        <v>0</v>
      </c>
      <c r="C4" s="26">
        <f aca="true" t="shared" si="0" ref="C4:C11">IF(B4&lt;=1618999,B4,IF(B4&lt;=1619999,B4-MOD(B4-1619000,1000),IF(B4&lt;=1623999,B4-MOD(B4-1620000,2000),IF(B4&lt;=6599999,B4-MOD(B4-1624000,4000),B4))))</f>
        <v>0</v>
      </c>
      <c r="D4" s="29">
        <f>IF(C4=0,0,ROUNDDOWN(C4*VLOOKUP(C4,$F$2:$H$12,2)-VLOOKUP(C4,$F$2:$H$12,3),0))</f>
        <v>0</v>
      </c>
      <c r="F4" s="27">
        <v>1619000</v>
      </c>
      <c r="G4" s="28">
        <v>1</v>
      </c>
      <c r="H4" s="27">
        <v>550000</v>
      </c>
    </row>
    <row r="5" spans="1:8" ht="14.25">
      <c r="A5">
        <v>4</v>
      </c>
      <c r="B5" s="24">
        <f>'国保税計算'!Q7</f>
        <v>0</v>
      </c>
      <c r="C5" s="26">
        <f t="shared" si="0"/>
        <v>0</v>
      </c>
      <c r="D5" s="29">
        <f aca="true" t="shared" si="1" ref="D5:D11">IF(C5=0,0,ROUNDDOWN(C5*VLOOKUP(C5,$F$2:$H$12,2)-VLOOKUP(C5,$F$2:$H$12,3),0))</f>
        <v>0</v>
      </c>
      <c r="F5" s="27">
        <v>1620000</v>
      </c>
      <c r="G5" s="28">
        <v>1</v>
      </c>
      <c r="H5" s="27">
        <v>550000</v>
      </c>
    </row>
    <row r="6" spans="1:8" ht="14.25">
      <c r="A6">
        <v>5</v>
      </c>
      <c r="B6" s="24">
        <f>'国保税計算'!Q8</f>
        <v>0</v>
      </c>
      <c r="C6" s="26">
        <f t="shared" si="0"/>
        <v>0</v>
      </c>
      <c r="D6" s="29">
        <f t="shared" si="1"/>
        <v>0</v>
      </c>
      <c r="F6" s="27">
        <v>1622000</v>
      </c>
      <c r="G6" s="28">
        <v>1</v>
      </c>
      <c r="H6" s="27">
        <v>550000</v>
      </c>
    </row>
    <row r="7" spans="1:12" ht="14.25">
      <c r="A7">
        <v>6</v>
      </c>
      <c r="B7" s="24">
        <f>'国保税計算'!Q9</f>
        <v>0</v>
      </c>
      <c r="C7" s="26">
        <f t="shared" si="0"/>
        <v>0</v>
      </c>
      <c r="D7" s="29">
        <f t="shared" si="1"/>
        <v>0</v>
      </c>
      <c r="F7" s="27">
        <v>1624000</v>
      </c>
      <c r="G7" s="28">
        <v>1</v>
      </c>
      <c r="H7" s="27">
        <v>550000</v>
      </c>
      <c r="L7" s="20" t="s">
        <v>93</v>
      </c>
    </row>
    <row r="8" spans="1:12" ht="14.25">
      <c r="A8">
        <v>7</v>
      </c>
      <c r="B8" s="24">
        <f>'国保税計算'!Q10</f>
        <v>0</v>
      </c>
      <c r="C8" s="26">
        <f t="shared" si="0"/>
        <v>0</v>
      </c>
      <c r="D8" s="29">
        <f t="shared" si="1"/>
        <v>0</v>
      </c>
      <c r="F8" s="93">
        <v>1628000</v>
      </c>
      <c r="G8" s="94">
        <v>0.6</v>
      </c>
      <c r="H8" s="95">
        <v>-100000</v>
      </c>
      <c r="L8" s="20" t="s">
        <v>94</v>
      </c>
    </row>
    <row r="9" spans="1:12" ht="14.25">
      <c r="A9">
        <v>8</v>
      </c>
      <c r="B9" s="24">
        <f>'国保税計算'!Q11</f>
        <v>0</v>
      </c>
      <c r="C9" s="26">
        <f t="shared" si="0"/>
        <v>0</v>
      </c>
      <c r="D9" s="29">
        <f t="shared" si="1"/>
        <v>0</v>
      </c>
      <c r="F9" s="96">
        <v>1800000</v>
      </c>
      <c r="G9" s="97">
        <v>0.7</v>
      </c>
      <c r="H9" s="98">
        <v>80000</v>
      </c>
      <c r="L9" s="20" t="s">
        <v>95</v>
      </c>
    </row>
    <row r="10" spans="1:8" ht="14.25">
      <c r="A10">
        <v>9</v>
      </c>
      <c r="B10" s="24">
        <f>'国保税計算'!Q12</f>
        <v>0</v>
      </c>
      <c r="C10" s="26">
        <f t="shared" si="0"/>
        <v>0</v>
      </c>
      <c r="D10" s="29">
        <f t="shared" si="1"/>
        <v>0</v>
      </c>
      <c r="F10" s="99">
        <v>3600000</v>
      </c>
      <c r="G10" s="100">
        <v>0.8</v>
      </c>
      <c r="H10" s="101">
        <v>440000</v>
      </c>
    </row>
    <row r="11" spans="1:8" ht="14.25">
      <c r="A11">
        <v>10</v>
      </c>
      <c r="B11" s="24">
        <f>'国保税計算'!Q13</f>
        <v>0</v>
      </c>
      <c r="C11" s="26">
        <f t="shared" si="0"/>
        <v>0</v>
      </c>
      <c r="D11" s="29">
        <f t="shared" si="1"/>
        <v>0</v>
      </c>
      <c r="F11" s="27">
        <v>6600000</v>
      </c>
      <c r="G11" s="28">
        <v>0.9</v>
      </c>
      <c r="H11" s="27">
        <v>1100000</v>
      </c>
    </row>
    <row r="12" spans="3:8" ht="14.25">
      <c r="C12" s="26"/>
      <c r="D12" s="26"/>
      <c r="F12" s="27">
        <v>8500000</v>
      </c>
      <c r="G12" s="28">
        <v>1</v>
      </c>
      <c r="H12" s="27">
        <v>1950000</v>
      </c>
    </row>
    <row r="13" spans="3:8" ht="14.25">
      <c r="C13" s="26"/>
      <c r="D13" s="26"/>
      <c r="F13" s="27"/>
      <c r="G13" s="28"/>
      <c r="H13" s="27"/>
    </row>
    <row r="14" ht="13.5">
      <c r="D14" s="30" t="s">
        <v>46</v>
      </c>
    </row>
    <row r="18" spans="1:10" ht="13.5">
      <c r="A18" s="81"/>
      <c r="B18" s="81"/>
      <c r="C18" s="81"/>
      <c r="D18" s="81"/>
      <c r="E18" s="81"/>
      <c r="F18" s="81"/>
      <c r="G18" s="81"/>
      <c r="H18" s="81"/>
      <c r="I18" s="81"/>
      <c r="J18" s="81"/>
    </row>
  </sheetData>
  <sheetProtection password="C765" sheet="1" selectLockedCells="1"/>
  <dataValidations count="1">
    <dataValidation allowBlank="1" showInputMessage="1" showErrorMessage="1" imeMode="off" sqref="B2:C2 C3:C13 B3:B11"/>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清須市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清須市</dc:creator>
  <cp:keywords/>
  <dc:description/>
  <cp:lastModifiedBy>kiyosu</cp:lastModifiedBy>
  <cp:lastPrinted>2023-04-24T04:23:28Z</cp:lastPrinted>
  <dcterms:created xsi:type="dcterms:W3CDTF">2010-04-08T08:22:35Z</dcterms:created>
  <dcterms:modified xsi:type="dcterms:W3CDTF">2024-04-11T01:33:49Z</dcterms:modified>
  <cp:category/>
  <cp:version/>
  <cp:contentType/>
  <cp:contentStatus/>
</cp:coreProperties>
</file>